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nofwoodstock-my.sharepoint.com/personal/admin_townofwoodstock_org/Documents/Town Manager's Office Documents/FY 2023 Budget/"/>
    </mc:Choice>
  </mc:AlternateContent>
  <xr:revisionPtr revIDLastSave="0" documentId="8_{487C636F-F2B6-45DB-A011-59581CC644AB}" xr6:coauthVersionLast="47" xr6:coauthVersionMax="47" xr10:uidLastSave="{00000000-0000-0000-0000-000000000000}"/>
  <bookViews>
    <workbookView xWindow="-120" yWindow="-120" windowWidth="29040" windowHeight="15840" xr2:uid="{52A1C48E-22DC-4BFF-98F6-00EB727AA8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30" i="1"/>
  <c r="G10" i="1"/>
  <c r="G17" i="1"/>
  <c r="G25" i="1"/>
  <c r="G154" i="1"/>
  <c r="G179" i="1"/>
  <c r="G138" i="1"/>
  <c r="G38" i="1" l="1"/>
  <c r="G99" i="1"/>
  <c r="G98" i="1"/>
  <c r="G81" i="1"/>
  <c r="G80" i="1"/>
  <c r="G65" i="1"/>
  <c r="G69" i="1"/>
  <c r="G68" i="1"/>
  <c r="G60" i="1"/>
  <c r="G45" i="1"/>
  <c r="G44" i="1"/>
  <c r="G49" i="1" l="1"/>
  <c r="G95" i="1"/>
  <c r="G128" i="1"/>
  <c r="G75" i="1"/>
  <c r="G77" i="1" l="1"/>
  <c r="G182" i="1" s="1"/>
  <c r="B183" i="1"/>
  <c r="A183" i="1"/>
  <c r="B181" i="1"/>
  <c r="A181" i="1"/>
  <c r="B180" i="1"/>
  <c r="A180" i="1"/>
  <c r="B178" i="1"/>
  <c r="A178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6" i="1"/>
  <c r="A156" i="1"/>
  <c r="B155" i="1"/>
  <c r="A155" i="1"/>
  <c r="B153" i="1"/>
  <c r="A153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0" i="1"/>
  <c r="A140" i="1"/>
  <c r="B139" i="1"/>
  <c r="A139" i="1"/>
  <c r="B137" i="1"/>
  <c r="A137" i="1"/>
  <c r="B135" i="1"/>
  <c r="A135" i="1"/>
  <c r="B134" i="1"/>
  <c r="A134" i="1"/>
  <c r="B133" i="1"/>
  <c r="A133" i="1"/>
  <c r="B132" i="1"/>
  <c r="A132" i="1"/>
  <c r="B131" i="1"/>
  <c r="A131" i="1"/>
  <c r="B129" i="1"/>
  <c r="A129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6" i="1"/>
  <c r="A96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8" i="1"/>
  <c r="A78" i="1"/>
  <c r="B76" i="1"/>
  <c r="A76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6" i="1"/>
  <c r="A66" i="1"/>
  <c r="B64" i="1"/>
  <c r="A64" i="1"/>
  <c r="B63" i="1"/>
  <c r="A63" i="1"/>
  <c r="B61" i="1"/>
  <c r="A61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0" i="1"/>
  <c r="A50" i="1"/>
  <c r="B48" i="1"/>
  <c r="A48" i="1"/>
  <c r="B47" i="1"/>
  <c r="A47" i="1"/>
  <c r="B46" i="1"/>
  <c r="A46" i="1"/>
  <c r="B45" i="1"/>
  <c r="A45" i="1"/>
  <c r="B44" i="1"/>
  <c r="A44" i="1"/>
  <c r="B41" i="1"/>
  <c r="A41" i="1"/>
  <c r="B39" i="1"/>
  <c r="A39" i="1"/>
  <c r="B37" i="1"/>
  <c r="A37" i="1"/>
  <c r="B35" i="1"/>
  <c r="A35" i="1"/>
  <c r="B34" i="1"/>
  <c r="A34" i="1"/>
  <c r="B33" i="1"/>
  <c r="A33" i="1"/>
  <c r="B31" i="1"/>
  <c r="A31" i="1"/>
  <c r="B29" i="1"/>
  <c r="A29" i="1"/>
  <c r="B28" i="1"/>
  <c r="A28" i="1"/>
  <c r="B26" i="1"/>
  <c r="A26" i="1"/>
  <c r="B24" i="1"/>
  <c r="A24" i="1"/>
  <c r="B23" i="1"/>
  <c r="A23" i="1"/>
  <c r="B22" i="1"/>
  <c r="A22" i="1"/>
  <c r="B21" i="1"/>
  <c r="A21" i="1"/>
  <c r="B20" i="1"/>
  <c r="A20" i="1"/>
  <c r="B18" i="1"/>
  <c r="A18" i="1"/>
  <c r="B16" i="1"/>
  <c r="A16" i="1"/>
  <c r="B15" i="1"/>
  <c r="A15" i="1"/>
  <c r="B14" i="1"/>
  <c r="A14" i="1"/>
  <c r="B13" i="1"/>
  <c r="A13" i="1"/>
  <c r="B11" i="1"/>
  <c r="A11" i="1"/>
  <c r="B9" i="1"/>
  <c r="A9" i="1"/>
  <c r="B8" i="1"/>
  <c r="A8" i="1"/>
  <c r="B7" i="1"/>
  <c r="A7" i="1"/>
  <c r="B6" i="1"/>
  <c r="A6" i="1"/>
</calcChain>
</file>

<file path=xl/sharedStrings.xml><?xml version="1.0" encoding="utf-8"?>
<sst xmlns="http://schemas.openxmlformats.org/spreadsheetml/2006/main" count="168" uniqueCount="46">
  <si>
    <t>FY 22</t>
  </si>
  <si>
    <t>FY 23</t>
  </si>
  <si>
    <t>3-400 CONSUMPION FEE REVENUE</t>
  </si>
  <si>
    <t>As of 10/12/2021</t>
  </si>
  <si>
    <t>------------------</t>
  </si>
  <si>
    <t>--------------</t>
  </si>
  <si>
    <t>Total CONSUMPION FEE REVENUE</t>
  </si>
  <si>
    <t>3-407 INTEREST INCOME</t>
  </si>
  <si>
    <t>Total INTEREST INCOME</t>
  </si>
  <si>
    <t>3-409 MISCELLANEOUS REVENUE</t>
  </si>
  <si>
    <t>Total MISCELLANEOUS REVENUE</t>
  </si>
  <si>
    <t>3-450 ABATEMENTS</t>
  </si>
  <si>
    <t>Total ABATEMENTS</t>
  </si>
  <si>
    <t>3-470 TRANSFERS IN</t>
  </si>
  <si>
    <t>Total TRANSFERS IN</t>
  </si>
  <si>
    <t>Total Revenues</t>
  </si>
  <si>
    <t>3-501 ADMINSTRATION</t>
  </si>
  <si>
    <t>3-5012 EXECUTIVE</t>
  </si>
  <si>
    <t>Total EXECUTIVE</t>
  </si>
  <si>
    <t>3-5013 OFFICE ADMINISTRATION</t>
  </si>
  <si>
    <t>Total OFFICE ADMINISTRATION</t>
  </si>
  <si>
    <t>3-5014 AUDITING</t>
  </si>
  <si>
    <t>Total AUDITING</t>
  </si>
  <si>
    <t>3-5016 ACCOUNTING</t>
  </si>
  <si>
    <t>Total ACCOUNTING</t>
  </si>
  <si>
    <t>Total ADMINSTRATION</t>
  </si>
  <si>
    <t>3-5021 MAINTAINING SEWER SYSTEMS_x000C_</t>
  </si>
  <si>
    <t>Total MAINTAINING SEWER SYSTEMS</t>
  </si>
  <si>
    <t>3-5022 CONSTR &amp; MAINT OF PLANTS</t>
  </si>
  <si>
    <t>Total CONSTR &amp; MAINT OF PLANTS</t>
  </si>
  <si>
    <t>3-5023 SEWER VEHICLE</t>
  </si>
  <si>
    <t>Total SEWER VEHICLE</t>
  </si>
  <si>
    <t>3-5029 CAPITAL RESERVE</t>
  </si>
  <si>
    <t>Total CAPITAL RESERVE</t>
  </si>
  <si>
    <t>3-5099 CAPITAL RESERVE SPENDING</t>
  </si>
  <si>
    <t>Total CAPITAL RESERVE SPENDING</t>
  </si>
  <si>
    <t>Total Appropriations</t>
  </si>
  <si>
    <t>10/11/21                                            WOODSTOCK TOWN General Ledger                                             Page 1</t>
  </si>
  <si>
    <t>02:10 pm                                              Comparative Budget Report                      Staff Accountant.TOWNACCTPC2015</t>
  </si>
  <si>
    <t xml:space="preserve">                                                          TOWN GENERAL FUND</t>
  </si>
  <si>
    <t>Paid off?</t>
  </si>
  <si>
    <t>Line Flusher</t>
  </si>
  <si>
    <t>Sludge Tanker Truck</t>
  </si>
  <si>
    <t>Budget FY 21</t>
  </si>
  <si>
    <t>Actual FY 21</t>
  </si>
  <si>
    <t>Influent pump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</si>
</sst>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1" xfId="1" applyFont="1" applyBorder="1" applyAlignment="1">
      <alignment horizontal="center"/>
    </xf>
    <xf numFmtId="44" fontId="2" fillId="0" borderId="1" xfId="1" applyFont="1" applyBorder="1"/>
    <xf numFmtId="0" fontId="3" fillId="0" borderId="1" xfId="0" applyFont="1" applyBorder="1"/>
    <xf numFmtId="44" fontId="3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33EA9-F681-4E6E-8679-B5BD99859FB5}">
  <sheetPr>
    <pageSetUpPr fitToPage="1"/>
  </sheetPr>
  <dimension ref="A1:G186"/>
  <sheetViews>
    <sheetView tabSelected="1" workbookViewId="0">
      <selection activeCell="H46" sqref="H46"/>
    </sheetView>
  </sheetViews>
  <sheetFormatPr defaultRowHeight="15" x14ac:dyDescent="0.25"/>
  <cols>
    <col min="1" max="1" width="12.42578125" customWidth="1"/>
    <col min="2" max="2" width="24.5703125" customWidth="1"/>
    <col min="3" max="5" width="17.42578125" customWidth="1"/>
    <col min="6" max="6" width="16.140625" customWidth="1"/>
    <col min="7" max="7" width="14.85546875" customWidth="1"/>
  </cols>
  <sheetData>
    <row r="1" spans="1:7" x14ac:dyDescent="0.25">
      <c r="A1" s="1" t="s">
        <v>37</v>
      </c>
      <c r="B1" s="1"/>
      <c r="C1" s="2"/>
      <c r="D1" s="2"/>
      <c r="E1" s="2"/>
      <c r="F1" s="2"/>
      <c r="G1" s="2"/>
    </row>
    <row r="2" spans="1:7" x14ac:dyDescent="0.25">
      <c r="A2" s="1" t="s">
        <v>38</v>
      </c>
      <c r="B2" s="1"/>
      <c r="C2" s="2"/>
      <c r="D2" s="2"/>
      <c r="E2" s="2"/>
      <c r="F2" s="2"/>
      <c r="G2" s="2"/>
    </row>
    <row r="3" spans="1:7" x14ac:dyDescent="0.25">
      <c r="A3" s="1" t="s">
        <v>39</v>
      </c>
      <c r="B3" s="1"/>
      <c r="C3" s="2"/>
      <c r="D3" s="2"/>
      <c r="E3" s="2"/>
      <c r="F3" s="2"/>
      <c r="G3" s="2"/>
    </row>
    <row r="4" spans="1:7" x14ac:dyDescent="0.25">
      <c r="A4" s="1"/>
      <c r="B4" s="1"/>
      <c r="C4" s="2" t="s">
        <v>43</v>
      </c>
      <c r="D4" s="2" t="s">
        <v>44</v>
      </c>
      <c r="E4" s="3" t="s">
        <v>0</v>
      </c>
      <c r="F4" s="4" t="s">
        <v>3</v>
      </c>
      <c r="G4" s="3" t="s">
        <v>1</v>
      </c>
    </row>
    <row r="5" spans="1:7" x14ac:dyDescent="0.25">
      <c r="A5" s="1" t="s">
        <v>2</v>
      </c>
      <c r="B5" s="1"/>
      <c r="C5" s="2"/>
      <c r="D5" s="2"/>
      <c r="E5" s="2"/>
      <c r="G5" s="2"/>
    </row>
    <row r="6" spans="1:7" x14ac:dyDescent="0.25">
      <c r="A6" s="1" t="str">
        <f>"3-4006-000"</f>
        <v>3-4006-000</v>
      </c>
      <c r="B6" s="1" t="str">
        <f>"Sewer Consumption Fees"</f>
        <v>Sewer Consumption Fees</v>
      </c>
      <c r="C6" s="2">
        <v>1002275</v>
      </c>
      <c r="D6" s="2">
        <v>999328.61</v>
      </c>
      <c r="E6" s="2">
        <v>1083397.5</v>
      </c>
      <c r="F6" s="2">
        <v>0</v>
      </c>
      <c r="G6" s="2"/>
    </row>
    <row r="7" spans="1:7" x14ac:dyDescent="0.25">
      <c r="A7" s="1" t="str">
        <f>"3-4007-000"</f>
        <v>3-4007-000</v>
      </c>
      <c r="B7" s="1" t="str">
        <f>"Delinq Consump - Interest"</f>
        <v>Delinq Consump - Interest</v>
      </c>
      <c r="C7" s="2">
        <v>6000</v>
      </c>
      <c r="D7" s="2">
        <v>7994.64</v>
      </c>
      <c r="E7" s="2">
        <v>7000</v>
      </c>
      <c r="F7" s="2">
        <v>1664.84</v>
      </c>
      <c r="G7" s="2"/>
    </row>
    <row r="8" spans="1:7" x14ac:dyDescent="0.25">
      <c r="A8" s="1" t="str">
        <f>"3-4008-000"</f>
        <v>3-4008-000</v>
      </c>
      <c r="B8" s="1" t="str">
        <f>"Delinq Consump - Penalty"</f>
        <v>Delinq Consump - Penalty</v>
      </c>
      <c r="C8" s="2">
        <v>6000</v>
      </c>
      <c r="D8" s="2">
        <v>12200.77</v>
      </c>
      <c r="E8" s="2">
        <v>5000</v>
      </c>
      <c r="F8" s="2">
        <v>-47.72</v>
      </c>
      <c r="G8" s="2"/>
    </row>
    <row r="9" spans="1:7" x14ac:dyDescent="0.25">
      <c r="A9" s="1" t="str">
        <f>""</f>
        <v/>
      </c>
      <c r="B9" s="1" t="str">
        <f>""</f>
        <v/>
      </c>
      <c r="C9" s="2" t="s">
        <v>4</v>
      </c>
      <c r="D9" s="2" t="s">
        <v>4</v>
      </c>
      <c r="E9" s="2" t="s">
        <v>4</v>
      </c>
      <c r="F9" s="2" t="s">
        <v>5</v>
      </c>
      <c r="G9" s="2"/>
    </row>
    <row r="10" spans="1:7" x14ac:dyDescent="0.25">
      <c r="A10" s="1" t="s">
        <v>6</v>
      </c>
      <c r="B10" s="1"/>
      <c r="C10" s="2">
        <v>1014275</v>
      </c>
      <c r="D10" s="2">
        <v>1019524.02</v>
      </c>
      <c r="E10" s="2">
        <v>1095397.5</v>
      </c>
      <c r="F10" s="2">
        <v>1617.12</v>
      </c>
      <c r="G10" s="2">
        <f>SUM(G6:G8)</f>
        <v>0</v>
      </c>
    </row>
    <row r="11" spans="1:7" x14ac:dyDescent="0.25">
      <c r="A11" s="1" t="str">
        <f>""</f>
        <v/>
      </c>
      <c r="B11" s="1" t="str">
        <f>""</f>
        <v/>
      </c>
      <c r="C11" s="2" t="s">
        <v>4</v>
      </c>
      <c r="D11" s="2" t="s">
        <v>4</v>
      </c>
      <c r="E11" s="2" t="s">
        <v>4</v>
      </c>
      <c r="F11" s="2" t="s">
        <v>5</v>
      </c>
      <c r="G11" s="2"/>
    </row>
    <row r="12" spans="1:7" x14ac:dyDescent="0.25">
      <c r="A12" s="1" t="s">
        <v>7</v>
      </c>
      <c r="B12" s="1"/>
      <c r="C12" s="2"/>
      <c r="D12" s="2"/>
      <c r="E12" s="2"/>
      <c r="F12" s="2"/>
      <c r="G12" s="2"/>
    </row>
    <row r="13" spans="1:7" x14ac:dyDescent="0.25">
      <c r="A13" s="1" t="str">
        <f>"3-4071-000"</f>
        <v>3-4071-000</v>
      </c>
      <c r="B13" s="1" t="str">
        <f>"General Interest Income"</f>
        <v>General Interest Income</v>
      </c>
      <c r="C13" s="2">
        <v>1000</v>
      </c>
      <c r="D13" s="2">
        <v>2553.73</v>
      </c>
      <c r="E13" s="2">
        <v>2000</v>
      </c>
      <c r="F13" s="2">
        <v>0</v>
      </c>
      <c r="G13" s="2">
        <v>2000</v>
      </c>
    </row>
    <row r="14" spans="1:7" x14ac:dyDescent="0.25">
      <c r="A14" s="1" t="str">
        <f>"3-4072-000"</f>
        <v>3-4072-000</v>
      </c>
      <c r="B14" s="1" t="str">
        <f>"Restricted Interest"</f>
        <v>Restricted Interest</v>
      </c>
      <c r="C14" s="2">
        <v>0</v>
      </c>
      <c r="D14" s="2">
        <v>0</v>
      </c>
      <c r="E14" s="2">
        <v>0</v>
      </c>
      <c r="F14" s="2">
        <v>0</v>
      </c>
      <c r="G14" s="2"/>
    </row>
    <row r="15" spans="1:7" x14ac:dyDescent="0.25">
      <c r="A15" s="1" t="str">
        <f>"3-4073-000"</f>
        <v>3-4073-000</v>
      </c>
      <c r="B15" s="1" t="str">
        <f>"CD Interest Income"</f>
        <v>CD Interest Income</v>
      </c>
      <c r="C15" s="2">
        <v>0</v>
      </c>
      <c r="D15" s="2">
        <v>0</v>
      </c>
      <c r="E15" s="2">
        <v>0</v>
      </c>
      <c r="F15" s="2">
        <v>0</v>
      </c>
      <c r="G15" s="2"/>
    </row>
    <row r="16" spans="1:7" x14ac:dyDescent="0.25">
      <c r="A16" s="1" t="str">
        <f>""</f>
        <v/>
      </c>
      <c r="B16" s="1" t="str">
        <f>""</f>
        <v/>
      </c>
      <c r="C16" s="2" t="s">
        <v>4</v>
      </c>
      <c r="D16" s="2" t="s">
        <v>4</v>
      </c>
      <c r="E16" s="2" t="s">
        <v>4</v>
      </c>
      <c r="F16" s="2" t="s">
        <v>5</v>
      </c>
      <c r="G16" s="2"/>
    </row>
    <row r="17" spans="1:7" x14ac:dyDescent="0.25">
      <c r="A17" s="1" t="s">
        <v>8</v>
      </c>
      <c r="B17" s="1"/>
      <c r="C17" s="2">
        <v>1000</v>
      </c>
      <c r="D17" s="2">
        <v>2553.73</v>
      </c>
      <c r="E17" s="2">
        <v>2000</v>
      </c>
      <c r="F17" s="2">
        <v>0</v>
      </c>
      <c r="G17" s="2">
        <f>SUM(G13:G15)</f>
        <v>2000</v>
      </c>
    </row>
    <row r="18" spans="1:7" x14ac:dyDescent="0.25">
      <c r="A18" s="1" t="str">
        <f>""</f>
        <v/>
      </c>
      <c r="B18" s="1" t="str">
        <f>""</f>
        <v/>
      </c>
      <c r="C18" s="2" t="s">
        <v>4</v>
      </c>
      <c r="D18" s="2" t="s">
        <v>4</v>
      </c>
      <c r="E18" s="2" t="s">
        <v>4</v>
      </c>
      <c r="F18" s="2" t="s">
        <v>5</v>
      </c>
      <c r="G18" s="2"/>
    </row>
    <row r="19" spans="1:7" x14ac:dyDescent="0.25">
      <c r="A19" s="1" t="s">
        <v>9</v>
      </c>
      <c r="B19" s="1"/>
      <c r="C19" s="2"/>
      <c r="D19" s="2"/>
      <c r="E19" s="2"/>
      <c r="F19" s="2"/>
      <c r="G19" s="2"/>
    </row>
    <row r="20" spans="1:7" x14ac:dyDescent="0.25">
      <c r="A20" s="1" t="str">
        <f>"3-4091-000"</f>
        <v>3-4091-000</v>
      </c>
      <c r="B20" s="1" t="str">
        <f>"Miscellaneous Revenue"</f>
        <v>Miscellaneous Revenue</v>
      </c>
      <c r="C20" s="2">
        <v>0</v>
      </c>
      <c r="D20" s="2">
        <v>20.29</v>
      </c>
      <c r="E20" s="2">
        <v>0</v>
      </c>
      <c r="F20" s="2">
        <v>0</v>
      </c>
      <c r="G20" s="2"/>
    </row>
    <row r="21" spans="1:7" x14ac:dyDescent="0.25">
      <c r="A21" s="1" t="str">
        <f>"3-4092-000"</f>
        <v>3-4092-000</v>
      </c>
      <c r="B21" s="1" t="str">
        <f>"(Gain)/Loss-AssetDisposal"</f>
        <v>(Gain)/Loss-AssetDisposal</v>
      </c>
      <c r="C21" s="2">
        <v>0</v>
      </c>
      <c r="D21" s="2">
        <v>0</v>
      </c>
      <c r="E21" s="2">
        <v>0</v>
      </c>
      <c r="F21" s="2">
        <v>0</v>
      </c>
      <c r="G21" s="2"/>
    </row>
    <row r="22" spans="1:7" x14ac:dyDescent="0.25">
      <c r="A22" s="1" t="str">
        <f>"3-4097-001"</f>
        <v>3-4097-001</v>
      </c>
      <c r="B22" s="1" t="str">
        <f>"Loan Proceeds-Truck"</f>
        <v>Loan Proceeds-Truck</v>
      </c>
      <c r="C22" s="2">
        <v>0</v>
      </c>
      <c r="D22" s="2">
        <v>0</v>
      </c>
      <c r="E22" s="2">
        <v>0</v>
      </c>
      <c r="F22" s="2">
        <v>0</v>
      </c>
      <c r="G22" s="2"/>
    </row>
    <row r="23" spans="1:7" x14ac:dyDescent="0.25">
      <c r="A23" s="1" t="str">
        <f>"3-4098-001"</f>
        <v>3-4098-001</v>
      </c>
      <c r="B23" s="1" t="str">
        <f>"Insurance Reimbursement"</f>
        <v>Insurance Reimbursement</v>
      </c>
      <c r="C23" s="2">
        <v>0</v>
      </c>
      <c r="D23" s="2">
        <v>532.20000000000005</v>
      </c>
      <c r="E23" s="2">
        <v>0</v>
      </c>
      <c r="F23" s="2">
        <v>0</v>
      </c>
      <c r="G23" s="2"/>
    </row>
    <row r="24" spans="1:7" x14ac:dyDescent="0.25">
      <c r="A24" s="1" t="str">
        <f>""</f>
        <v/>
      </c>
      <c r="B24" s="1" t="str">
        <f>""</f>
        <v/>
      </c>
      <c r="C24" s="2" t="s">
        <v>4</v>
      </c>
      <c r="D24" s="2" t="s">
        <v>4</v>
      </c>
      <c r="E24" s="2" t="s">
        <v>4</v>
      </c>
      <c r="F24" s="2" t="s">
        <v>5</v>
      </c>
      <c r="G24" s="2"/>
    </row>
    <row r="25" spans="1:7" x14ac:dyDescent="0.25">
      <c r="A25" s="1" t="s">
        <v>10</v>
      </c>
      <c r="B25" s="1"/>
      <c r="C25" s="2">
        <v>0</v>
      </c>
      <c r="D25" s="2">
        <v>552.49</v>
      </c>
      <c r="E25" s="2">
        <v>0</v>
      </c>
      <c r="F25" s="2">
        <v>0</v>
      </c>
      <c r="G25" s="2">
        <f>SUM(G20:G23)</f>
        <v>0</v>
      </c>
    </row>
    <row r="26" spans="1:7" x14ac:dyDescent="0.25">
      <c r="A26" s="1" t="str">
        <f>""</f>
        <v/>
      </c>
      <c r="B26" s="1" t="str">
        <f>""</f>
        <v/>
      </c>
      <c r="C26" s="2" t="s">
        <v>4</v>
      </c>
      <c r="D26" s="2" t="s">
        <v>4</v>
      </c>
      <c r="E26" s="2" t="s">
        <v>4</v>
      </c>
      <c r="F26" s="2" t="s">
        <v>5</v>
      </c>
      <c r="G26" s="2"/>
    </row>
    <row r="27" spans="1:7" x14ac:dyDescent="0.25">
      <c r="A27" s="1" t="s">
        <v>11</v>
      </c>
      <c r="B27" s="1"/>
      <c r="C27" s="2"/>
      <c r="D27" s="2"/>
      <c r="E27" s="2"/>
      <c r="F27" s="2"/>
      <c r="G27" s="2"/>
    </row>
    <row r="28" spans="1:7" x14ac:dyDescent="0.25">
      <c r="A28" s="1" t="str">
        <f>"3-4501-000"</f>
        <v>3-4501-000</v>
      </c>
      <c r="B28" s="1" t="str">
        <f>"Abatements"</f>
        <v>Abatements</v>
      </c>
      <c r="C28" s="2">
        <v>0</v>
      </c>
      <c r="D28" s="2">
        <v>-1591.63</v>
      </c>
      <c r="E28" s="2">
        <v>0</v>
      </c>
      <c r="F28" s="2">
        <v>-894.43</v>
      </c>
      <c r="G28" s="2"/>
    </row>
    <row r="29" spans="1:7" x14ac:dyDescent="0.25">
      <c r="A29" s="1" t="str">
        <f>""</f>
        <v/>
      </c>
      <c r="B29" s="1" t="str">
        <f>""</f>
        <v/>
      </c>
      <c r="C29" s="2" t="s">
        <v>4</v>
      </c>
      <c r="D29" s="2" t="s">
        <v>4</v>
      </c>
      <c r="E29" s="2" t="s">
        <v>4</v>
      </c>
      <c r="F29" s="2" t="s">
        <v>5</v>
      </c>
      <c r="G29" s="2"/>
    </row>
    <row r="30" spans="1:7" x14ac:dyDescent="0.25">
      <c r="A30" s="1" t="s">
        <v>12</v>
      </c>
      <c r="B30" s="1"/>
      <c r="C30" s="2">
        <v>0</v>
      </c>
      <c r="D30" s="2">
        <v>-1591.63</v>
      </c>
      <c r="E30" s="2">
        <v>0</v>
      </c>
      <c r="F30" s="2">
        <v>-894.43</v>
      </c>
      <c r="G30" s="2">
        <f>SUM(G28)</f>
        <v>0</v>
      </c>
    </row>
    <row r="31" spans="1:7" x14ac:dyDescent="0.25">
      <c r="A31" s="1" t="str">
        <f>""</f>
        <v/>
      </c>
      <c r="B31" s="1" t="str">
        <f>""</f>
        <v/>
      </c>
      <c r="C31" s="2" t="s">
        <v>4</v>
      </c>
      <c r="D31" s="2" t="s">
        <v>4</v>
      </c>
      <c r="E31" s="2" t="s">
        <v>4</v>
      </c>
      <c r="F31" s="2" t="s">
        <v>5</v>
      </c>
      <c r="G31" s="2"/>
    </row>
    <row r="32" spans="1:7" x14ac:dyDescent="0.25">
      <c r="A32" s="1" t="s">
        <v>13</v>
      </c>
      <c r="B32" s="1"/>
      <c r="C32" s="2"/>
      <c r="D32" s="2"/>
      <c r="E32" s="2"/>
      <c r="F32" s="2"/>
      <c r="G32" s="2"/>
    </row>
    <row r="33" spans="1:7" x14ac:dyDescent="0.25">
      <c r="A33" s="1" t="str">
        <f>"3-4701-000"</f>
        <v>3-4701-000</v>
      </c>
      <c r="B33" s="1" t="str">
        <f>"Transfer from Cap Reserve"</f>
        <v>Transfer from Cap Reserve</v>
      </c>
      <c r="C33" s="2">
        <v>55000</v>
      </c>
      <c r="D33" s="2">
        <v>0</v>
      </c>
      <c r="E33" s="2">
        <v>250000</v>
      </c>
      <c r="F33" s="2">
        <v>0</v>
      </c>
      <c r="G33" s="2"/>
    </row>
    <row r="34" spans="1:7" x14ac:dyDescent="0.25">
      <c r="A34" s="1" t="str">
        <f>"3-4707-000"</f>
        <v>3-4707-000</v>
      </c>
      <c r="B34" s="1" t="str">
        <f>"Transfer from Constr Fund"</f>
        <v>Transfer from Constr Fund</v>
      </c>
      <c r="C34" s="2">
        <v>0</v>
      </c>
      <c r="D34" s="2">
        <v>0</v>
      </c>
      <c r="E34" s="2">
        <v>0</v>
      </c>
      <c r="F34" s="2">
        <v>0</v>
      </c>
      <c r="G34" s="2"/>
    </row>
    <row r="35" spans="1:7" x14ac:dyDescent="0.25">
      <c r="A35" s="1" t="str">
        <f>""</f>
        <v/>
      </c>
      <c r="B35" s="1" t="str">
        <f>""</f>
        <v/>
      </c>
      <c r="C35" s="2" t="s">
        <v>4</v>
      </c>
      <c r="D35" s="2" t="s">
        <v>4</v>
      </c>
      <c r="E35" s="2" t="s">
        <v>4</v>
      </c>
      <c r="F35" s="2" t="s">
        <v>5</v>
      </c>
      <c r="G35" s="2"/>
    </row>
    <row r="36" spans="1:7" x14ac:dyDescent="0.25">
      <c r="A36" s="1" t="s">
        <v>14</v>
      </c>
      <c r="B36" s="1"/>
      <c r="C36" s="2">
        <v>55000</v>
      </c>
      <c r="D36" s="2">
        <v>0</v>
      </c>
      <c r="E36" s="2">
        <v>250000</v>
      </c>
      <c r="F36" s="2">
        <v>0</v>
      </c>
      <c r="G36" s="2">
        <f>SUM(G33:G34)</f>
        <v>0</v>
      </c>
    </row>
    <row r="37" spans="1:7" x14ac:dyDescent="0.25">
      <c r="A37" s="1" t="str">
        <f>""</f>
        <v/>
      </c>
      <c r="B37" s="1" t="str">
        <f>""</f>
        <v/>
      </c>
      <c r="C37" s="2" t="s">
        <v>4</v>
      </c>
      <c r="D37" s="2" t="s">
        <v>4</v>
      </c>
      <c r="E37" s="2" t="s">
        <v>4</v>
      </c>
      <c r="F37" s="2" t="s">
        <v>5</v>
      </c>
      <c r="G37" s="2"/>
    </row>
    <row r="38" spans="1:7" x14ac:dyDescent="0.25">
      <c r="A38" s="5" t="s">
        <v>15</v>
      </c>
      <c r="B38" s="5"/>
      <c r="C38" s="6">
        <v>1070275</v>
      </c>
      <c r="D38" s="6">
        <v>1021038.61</v>
      </c>
      <c r="E38" s="6">
        <v>1347397.5</v>
      </c>
      <c r="F38" s="6">
        <v>722.69</v>
      </c>
      <c r="G38" s="6">
        <f>G36+G30+G25+G17+G10</f>
        <v>2000</v>
      </c>
    </row>
    <row r="39" spans="1:7" x14ac:dyDescent="0.25">
      <c r="A39" s="1" t="str">
        <f>""</f>
        <v/>
      </c>
      <c r="B39" s="1" t="str">
        <f>""</f>
        <v/>
      </c>
      <c r="C39" s="2" t="s">
        <v>4</v>
      </c>
      <c r="D39" s="2" t="s">
        <v>4</v>
      </c>
      <c r="E39" s="2" t="s">
        <v>4</v>
      </c>
      <c r="F39" s="2" t="s">
        <v>5</v>
      </c>
      <c r="G39" s="2"/>
    </row>
    <row r="40" spans="1:7" x14ac:dyDescent="0.25">
      <c r="A40" s="1"/>
      <c r="B40" s="1"/>
      <c r="C40" s="2"/>
      <c r="D40" s="2"/>
      <c r="E40" s="2"/>
      <c r="F40" s="2"/>
      <c r="G40" s="2"/>
    </row>
    <row r="41" spans="1:7" x14ac:dyDescent="0.25">
      <c r="A41" s="1" t="str">
        <f>""</f>
        <v/>
      </c>
      <c r="B41" s="1" t="str">
        <f>""</f>
        <v/>
      </c>
      <c r="C41" s="2"/>
      <c r="D41" s="2"/>
      <c r="E41" s="2"/>
      <c r="F41" s="2"/>
      <c r="G41" s="2"/>
    </row>
    <row r="42" spans="1:7" x14ac:dyDescent="0.25">
      <c r="A42" s="1" t="s">
        <v>16</v>
      </c>
      <c r="B42" s="1"/>
      <c r="C42" s="2"/>
      <c r="D42" s="2"/>
      <c r="E42" s="2"/>
      <c r="F42" s="2"/>
      <c r="G42" s="2"/>
    </row>
    <row r="43" spans="1:7" x14ac:dyDescent="0.25">
      <c r="A43" s="1" t="s">
        <v>17</v>
      </c>
      <c r="B43" s="1"/>
      <c r="C43" s="2"/>
      <c r="D43" s="2"/>
      <c r="E43" s="2"/>
      <c r="F43" s="2"/>
      <c r="G43" s="2"/>
    </row>
    <row r="44" spans="1:7" x14ac:dyDescent="0.25">
      <c r="A44" s="1" t="str">
        <f>"3-5012-100"</f>
        <v>3-5012-100</v>
      </c>
      <c r="B44" s="1" t="str">
        <f>"Salaries &amp; Wages"</f>
        <v>Salaries &amp; Wages</v>
      </c>
      <c r="C44" s="2">
        <v>26200</v>
      </c>
      <c r="D44" s="2">
        <v>25600.89</v>
      </c>
      <c r="E44" s="2">
        <v>27150</v>
      </c>
      <c r="F44" s="2">
        <v>7438.01</v>
      </c>
      <c r="G44" s="2">
        <f>E44*1.03</f>
        <v>27964.5</v>
      </c>
    </row>
    <row r="45" spans="1:7" x14ac:dyDescent="0.25">
      <c r="A45" s="1" t="str">
        <f>"3-5012-199"</f>
        <v>3-5012-199</v>
      </c>
      <c r="B45" s="1" t="str">
        <f>"Employer Paid Benefits"</f>
        <v>Employer Paid Benefits</v>
      </c>
      <c r="C45" s="2">
        <v>10500</v>
      </c>
      <c r="D45" s="2">
        <v>9422.26</v>
      </c>
      <c r="E45" s="2">
        <v>11865</v>
      </c>
      <c r="F45" s="2">
        <v>1825.93</v>
      </c>
      <c r="G45" s="2">
        <f>E45*1.05</f>
        <v>12458.25</v>
      </c>
    </row>
    <row r="46" spans="1:7" x14ac:dyDescent="0.25">
      <c r="A46" s="1" t="str">
        <f>"3-5012-200"</f>
        <v>3-5012-200</v>
      </c>
      <c r="B46" s="1" t="str">
        <f>"Wellness"</f>
        <v>Wellness</v>
      </c>
      <c r="C46" s="2">
        <v>0</v>
      </c>
      <c r="D46" s="2">
        <v>12</v>
      </c>
      <c r="E46" s="2">
        <v>0</v>
      </c>
      <c r="F46" s="2">
        <v>12</v>
      </c>
      <c r="G46" s="2"/>
    </row>
    <row r="47" spans="1:7" x14ac:dyDescent="0.25">
      <c r="A47" s="1" t="str">
        <f>"3-5012-603"</f>
        <v>3-5012-603</v>
      </c>
      <c r="B47" s="1" t="str">
        <f>"Dues  Subs  Meetings"</f>
        <v>Dues  Subs  Meetings</v>
      </c>
      <c r="C47" s="2">
        <v>500</v>
      </c>
      <c r="D47" s="2">
        <v>241.09</v>
      </c>
      <c r="E47" s="2">
        <v>500</v>
      </c>
      <c r="F47" s="2">
        <v>136</v>
      </c>
      <c r="G47" s="2">
        <v>500</v>
      </c>
    </row>
    <row r="48" spans="1:7" x14ac:dyDescent="0.25">
      <c r="A48" s="1" t="str">
        <f>""</f>
        <v/>
      </c>
      <c r="B48" s="1" t="str">
        <f>""</f>
        <v/>
      </c>
      <c r="C48" s="2" t="s">
        <v>4</v>
      </c>
      <c r="D48" s="2" t="s">
        <v>4</v>
      </c>
      <c r="E48" s="2" t="s">
        <v>4</v>
      </c>
      <c r="F48" s="2" t="s">
        <v>5</v>
      </c>
      <c r="G48" s="2"/>
    </row>
    <row r="49" spans="1:7" x14ac:dyDescent="0.25">
      <c r="A49" s="1" t="s">
        <v>18</v>
      </c>
      <c r="B49" s="1"/>
      <c r="C49" s="2">
        <v>37200</v>
      </c>
      <c r="D49" s="2">
        <v>35276.239999999998</v>
      </c>
      <c r="E49" s="2">
        <v>39515</v>
      </c>
      <c r="F49" s="2">
        <v>9411.94</v>
      </c>
      <c r="G49" s="2">
        <f>SUM(G44:G47)</f>
        <v>40922.75</v>
      </c>
    </row>
    <row r="50" spans="1:7" x14ac:dyDescent="0.25">
      <c r="A50" s="1" t="str">
        <f>""</f>
        <v/>
      </c>
      <c r="B50" s="1" t="str">
        <f>""</f>
        <v/>
      </c>
      <c r="C50" s="2" t="s">
        <v>4</v>
      </c>
      <c r="D50" s="2" t="s">
        <v>4</v>
      </c>
      <c r="E50" s="2" t="s">
        <v>4</v>
      </c>
      <c r="F50" s="2" t="s">
        <v>5</v>
      </c>
      <c r="G50" s="2"/>
    </row>
    <row r="51" spans="1:7" x14ac:dyDescent="0.25">
      <c r="A51" s="1" t="s">
        <v>19</v>
      </c>
      <c r="B51" s="1"/>
      <c r="C51" s="2"/>
      <c r="D51" s="2"/>
      <c r="E51" s="2"/>
      <c r="F51" s="2"/>
      <c r="G51" s="2"/>
    </row>
    <row r="52" spans="1:7" x14ac:dyDescent="0.25">
      <c r="A52" s="1" t="str">
        <f>"3-5013-202"</f>
        <v>3-5013-202</v>
      </c>
      <c r="B52" s="1" t="str">
        <f>"Office Supplies"</f>
        <v>Office Supplies</v>
      </c>
      <c r="C52" s="2">
        <v>1500</v>
      </c>
      <c r="D52" s="2">
        <v>1988.81</v>
      </c>
      <c r="E52" s="2">
        <v>1800</v>
      </c>
      <c r="F52" s="2">
        <v>298.41000000000003</v>
      </c>
      <c r="G52" s="2">
        <v>2000</v>
      </c>
    </row>
    <row r="53" spans="1:7" x14ac:dyDescent="0.25">
      <c r="A53" s="1" t="str">
        <f>"3-5013-204"</f>
        <v>3-5013-204</v>
      </c>
      <c r="B53" s="1" t="str">
        <f>"Postage"</f>
        <v>Postage</v>
      </c>
      <c r="C53" s="2">
        <v>1500</v>
      </c>
      <c r="D53" s="2">
        <v>1616.84</v>
      </c>
      <c r="E53" s="2">
        <v>1500</v>
      </c>
      <c r="F53" s="2">
        <v>475</v>
      </c>
      <c r="G53" s="2">
        <v>1800</v>
      </c>
    </row>
    <row r="54" spans="1:7" x14ac:dyDescent="0.25">
      <c r="A54" s="1" t="str">
        <f>"3-5013-302"</f>
        <v>3-5013-302</v>
      </c>
      <c r="B54" s="1" t="str">
        <f>"Legal Services"</f>
        <v>Legal Services</v>
      </c>
      <c r="C54" s="2">
        <v>250</v>
      </c>
      <c r="D54" s="2">
        <v>0</v>
      </c>
      <c r="E54" s="2">
        <v>250</v>
      </c>
      <c r="F54" s="2">
        <v>0</v>
      </c>
      <c r="G54" s="2"/>
    </row>
    <row r="55" spans="1:7" x14ac:dyDescent="0.25">
      <c r="A55" s="1" t="str">
        <f>"3-5013-401"</f>
        <v>3-5013-401</v>
      </c>
      <c r="B55" s="1" t="str">
        <f>"Equipment Maintenance"</f>
        <v>Equipment Maintenance</v>
      </c>
      <c r="C55" s="2">
        <v>1000</v>
      </c>
      <c r="D55" s="2">
        <v>146.85</v>
      </c>
      <c r="E55" s="2">
        <v>1000</v>
      </c>
      <c r="F55" s="2">
        <v>0</v>
      </c>
      <c r="G55" s="2">
        <v>500</v>
      </c>
    </row>
    <row r="56" spans="1:7" x14ac:dyDescent="0.25">
      <c r="A56" s="1" t="str">
        <f>"3-5013-502"</f>
        <v>3-5013-502</v>
      </c>
      <c r="B56" s="1" t="str">
        <f>"Communications"</f>
        <v>Communications</v>
      </c>
      <c r="C56" s="2">
        <v>2000</v>
      </c>
      <c r="D56" s="2">
        <v>2161.5300000000002</v>
      </c>
      <c r="E56" s="2">
        <v>2000</v>
      </c>
      <c r="F56" s="2">
        <v>251.04</v>
      </c>
      <c r="G56" s="2">
        <v>2000</v>
      </c>
    </row>
    <row r="57" spans="1:7" x14ac:dyDescent="0.25">
      <c r="A57" s="1" t="str">
        <f>"3-5013-503"</f>
        <v>3-5013-503</v>
      </c>
      <c r="B57" s="1" t="str">
        <f>"NEMRC Support/License"</f>
        <v>NEMRC Support/License</v>
      </c>
      <c r="C57" s="2">
        <v>1000</v>
      </c>
      <c r="D57" s="2">
        <v>0</v>
      </c>
      <c r="E57" s="2">
        <v>1000</v>
      </c>
      <c r="F57" s="2">
        <v>0</v>
      </c>
      <c r="G57" s="2">
        <v>1000</v>
      </c>
    </row>
    <row r="58" spans="1:7" x14ac:dyDescent="0.25">
      <c r="A58" s="1" t="str">
        <f>"3-5013-701"</f>
        <v>3-5013-701</v>
      </c>
      <c r="B58" s="1" t="str">
        <f>"Manager's Search"</f>
        <v>Manager's Search</v>
      </c>
      <c r="C58" s="2">
        <v>0</v>
      </c>
      <c r="D58" s="2">
        <v>0</v>
      </c>
      <c r="E58" s="2">
        <v>0</v>
      </c>
      <c r="F58" s="2">
        <v>0</v>
      </c>
      <c r="G58" s="2"/>
    </row>
    <row r="59" spans="1:7" x14ac:dyDescent="0.25">
      <c r="A59" s="1" t="str">
        <f>""</f>
        <v/>
      </c>
      <c r="B59" s="1" t="str">
        <f>""</f>
        <v/>
      </c>
      <c r="C59" s="2" t="s">
        <v>4</v>
      </c>
      <c r="D59" s="2" t="s">
        <v>4</v>
      </c>
      <c r="E59" s="2" t="s">
        <v>4</v>
      </c>
      <c r="F59" s="2" t="s">
        <v>5</v>
      </c>
      <c r="G59" s="2"/>
    </row>
    <row r="60" spans="1:7" x14ac:dyDescent="0.25">
      <c r="A60" s="1" t="s">
        <v>20</v>
      </c>
      <c r="B60" s="1"/>
      <c r="C60" s="2">
        <v>7250</v>
      </c>
      <c r="D60" s="2">
        <v>5914.03</v>
      </c>
      <c r="E60" s="2">
        <v>7550</v>
      </c>
      <c r="F60" s="2">
        <v>1024.45</v>
      </c>
      <c r="G60" s="2">
        <f>SUM(G52:G57)</f>
        <v>7300</v>
      </c>
    </row>
    <row r="61" spans="1:7" x14ac:dyDescent="0.25">
      <c r="A61" s="1" t="str">
        <f>""</f>
        <v/>
      </c>
      <c r="B61" s="1" t="str">
        <f>""</f>
        <v/>
      </c>
      <c r="C61" s="2" t="s">
        <v>4</v>
      </c>
      <c r="D61" s="2" t="s">
        <v>4</v>
      </c>
      <c r="E61" s="2" t="s">
        <v>4</v>
      </c>
      <c r="F61" s="2" t="s">
        <v>5</v>
      </c>
      <c r="G61" s="2"/>
    </row>
    <row r="62" spans="1:7" x14ac:dyDescent="0.25">
      <c r="A62" s="1" t="s">
        <v>21</v>
      </c>
      <c r="B62" s="1"/>
      <c r="C62" s="2"/>
      <c r="D62" s="2"/>
      <c r="E62" s="2"/>
      <c r="F62" s="2"/>
      <c r="G62" s="2"/>
    </row>
    <row r="63" spans="1:7" x14ac:dyDescent="0.25">
      <c r="A63" s="1" t="str">
        <f>"3-5014-301"</f>
        <v>3-5014-301</v>
      </c>
      <c r="B63" s="1" t="str">
        <f>"Professional Services"</f>
        <v>Professional Services</v>
      </c>
      <c r="C63" s="2">
        <v>9000</v>
      </c>
      <c r="D63" s="2">
        <v>1440</v>
      </c>
      <c r="E63" s="2">
        <v>7000</v>
      </c>
      <c r="F63" s="2">
        <v>0</v>
      </c>
      <c r="G63" s="2">
        <v>7000</v>
      </c>
    </row>
    <row r="64" spans="1:7" x14ac:dyDescent="0.25">
      <c r="A64" s="1" t="str">
        <f>""</f>
        <v/>
      </c>
      <c r="B64" s="1" t="str">
        <f>""</f>
        <v/>
      </c>
      <c r="C64" s="2" t="s">
        <v>4</v>
      </c>
      <c r="D64" s="2" t="s">
        <v>4</v>
      </c>
      <c r="E64" s="2" t="s">
        <v>4</v>
      </c>
      <c r="F64" s="2" t="s">
        <v>5</v>
      </c>
      <c r="G64" s="2"/>
    </row>
    <row r="65" spans="1:7" x14ac:dyDescent="0.25">
      <c r="A65" s="1" t="s">
        <v>22</v>
      </c>
      <c r="B65" s="1"/>
      <c r="C65" s="2">
        <v>9000</v>
      </c>
      <c r="D65" s="2">
        <v>1440</v>
      </c>
      <c r="E65" s="2">
        <v>7000</v>
      </c>
      <c r="F65" s="2">
        <v>0</v>
      </c>
      <c r="G65" s="2">
        <f>SUM(G63)</f>
        <v>7000</v>
      </c>
    </row>
    <row r="66" spans="1:7" x14ac:dyDescent="0.25">
      <c r="A66" s="1" t="str">
        <f>""</f>
        <v/>
      </c>
      <c r="B66" s="1" t="str">
        <f>""</f>
        <v/>
      </c>
      <c r="C66" s="2" t="s">
        <v>4</v>
      </c>
      <c r="D66" s="2" t="s">
        <v>4</v>
      </c>
      <c r="E66" s="2" t="s">
        <v>4</v>
      </c>
      <c r="F66" s="2" t="s">
        <v>5</v>
      </c>
      <c r="G66" s="2"/>
    </row>
    <row r="67" spans="1:7" x14ac:dyDescent="0.25">
      <c r="A67" s="1" t="s">
        <v>23</v>
      </c>
      <c r="B67" s="1"/>
      <c r="C67" s="2"/>
      <c r="D67" s="2"/>
      <c r="E67" s="2"/>
      <c r="F67" s="2"/>
      <c r="G67" s="2"/>
    </row>
    <row r="68" spans="1:7" x14ac:dyDescent="0.25">
      <c r="A68" s="1" t="str">
        <f>"3-5016-100"</f>
        <v>3-5016-100</v>
      </c>
      <c r="B68" s="1" t="str">
        <f>"Salary &amp; Wages"</f>
        <v>Salary &amp; Wages</v>
      </c>
      <c r="C68" s="2">
        <v>33500</v>
      </c>
      <c r="D68" s="2">
        <v>25137.59</v>
      </c>
      <c r="E68" s="2">
        <v>34505</v>
      </c>
      <c r="F68" s="2">
        <v>6856.03</v>
      </c>
      <c r="G68" s="2">
        <f>E68*1.03</f>
        <v>35540.15</v>
      </c>
    </row>
    <row r="69" spans="1:7" x14ac:dyDescent="0.25">
      <c r="A69" s="1" t="str">
        <f>"3-5016-199"</f>
        <v>3-5016-199</v>
      </c>
      <c r="B69" s="1" t="str">
        <f>"Employer Paid Benefits"</f>
        <v>Employer Paid Benefits</v>
      </c>
      <c r="C69" s="2">
        <v>11000</v>
      </c>
      <c r="D69" s="2">
        <v>10002.85</v>
      </c>
      <c r="E69" s="2">
        <v>12238</v>
      </c>
      <c r="F69" s="2">
        <v>2390.84</v>
      </c>
      <c r="G69" s="2">
        <f>E69*1.05</f>
        <v>12849.9</v>
      </c>
    </row>
    <row r="70" spans="1:7" x14ac:dyDescent="0.25">
      <c r="A70" s="1" t="str">
        <f>"3-5016-301"</f>
        <v>3-5016-301</v>
      </c>
      <c r="B70" s="1" t="str">
        <f>"Professional Services"</f>
        <v>Professional Services</v>
      </c>
      <c r="C70" s="2">
        <v>1000</v>
      </c>
      <c r="D70" s="2">
        <v>1707.27</v>
      </c>
      <c r="E70" s="2">
        <v>0</v>
      </c>
      <c r="F70" s="2">
        <v>0</v>
      </c>
      <c r="G70" s="2"/>
    </row>
    <row r="71" spans="1:7" x14ac:dyDescent="0.25">
      <c r="A71" s="1" t="str">
        <f>"3-5016-302"</f>
        <v>3-5016-302</v>
      </c>
      <c r="B71" s="1" t="str">
        <f>"NEMRC Services"</f>
        <v>NEMRC Services</v>
      </c>
      <c r="C71" s="2">
        <v>1000</v>
      </c>
      <c r="D71" s="2">
        <v>1000</v>
      </c>
      <c r="E71" s="2">
        <v>1000</v>
      </c>
      <c r="F71" s="2">
        <v>0</v>
      </c>
      <c r="G71" s="2">
        <v>1000</v>
      </c>
    </row>
    <row r="72" spans="1:7" x14ac:dyDescent="0.25">
      <c r="A72" s="1" t="str">
        <f>"3-5016-420"</f>
        <v>3-5016-420</v>
      </c>
      <c r="B72" s="1" t="str">
        <f>"Computer Expense"</f>
        <v>Computer Expense</v>
      </c>
      <c r="C72" s="2">
        <v>500</v>
      </c>
      <c r="D72" s="2">
        <v>0</v>
      </c>
      <c r="E72" s="2">
        <v>0</v>
      </c>
      <c r="F72" s="2">
        <v>0</v>
      </c>
      <c r="G72" s="2">
        <v>0</v>
      </c>
    </row>
    <row r="73" spans="1:7" x14ac:dyDescent="0.25">
      <c r="A73" s="1" t="str">
        <f>"3-5016-806"</f>
        <v>3-5016-806</v>
      </c>
      <c r="B73" s="1" t="str">
        <f>"Comp Unused Sick/Vac Time"</f>
        <v>Comp Unused Sick/Vac Time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</row>
    <row r="74" spans="1:7" x14ac:dyDescent="0.25">
      <c r="A74" s="1" t="str">
        <f>""</f>
        <v/>
      </c>
      <c r="B74" s="1" t="str">
        <f>""</f>
        <v/>
      </c>
      <c r="C74" s="2" t="s">
        <v>4</v>
      </c>
      <c r="D74" s="2" t="s">
        <v>4</v>
      </c>
      <c r="E74" s="2" t="s">
        <v>4</v>
      </c>
      <c r="F74" s="2" t="s">
        <v>5</v>
      </c>
      <c r="G74" s="2"/>
    </row>
    <row r="75" spans="1:7" x14ac:dyDescent="0.25">
      <c r="A75" s="1" t="s">
        <v>24</v>
      </c>
      <c r="B75" s="1"/>
      <c r="C75" s="2">
        <v>47000</v>
      </c>
      <c r="D75" s="2">
        <v>37847.71</v>
      </c>
      <c r="E75" s="2">
        <v>47743</v>
      </c>
      <c r="F75" s="2">
        <v>9246.8700000000008</v>
      </c>
      <c r="G75" s="2">
        <f>SUM(G68:G73)</f>
        <v>49390.05</v>
      </c>
    </row>
    <row r="76" spans="1:7" x14ac:dyDescent="0.25">
      <c r="A76" s="1" t="str">
        <f>""</f>
        <v/>
      </c>
      <c r="B76" s="1" t="str">
        <f>""</f>
        <v/>
      </c>
      <c r="C76" s="2" t="s">
        <v>4</v>
      </c>
      <c r="D76" s="2" t="s">
        <v>4</v>
      </c>
      <c r="E76" s="2" t="s">
        <v>4</v>
      </c>
      <c r="F76" s="2" t="s">
        <v>5</v>
      </c>
      <c r="G76" s="2"/>
    </row>
    <row r="77" spans="1:7" x14ac:dyDescent="0.25">
      <c r="A77" s="1" t="s">
        <v>25</v>
      </c>
      <c r="B77" s="1"/>
      <c r="C77" s="2">
        <v>100450</v>
      </c>
      <c r="D77" s="2">
        <v>80477.98</v>
      </c>
      <c r="E77" s="2">
        <v>101808</v>
      </c>
      <c r="F77" s="2">
        <v>19683.259999999998</v>
      </c>
      <c r="G77" s="2">
        <f>SUM(G75+G65+G60+G49)</f>
        <v>104612.8</v>
      </c>
    </row>
    <row r="78" spans="1:7" x14ac:dyDescent="0.25">
      <c r="A78" s="1" t="str">
        <f>""</f>
        <v/>
      </c>
      <c r="B78" s="1" t="str">
        <f>""</f>
        <v/>
      </c>
      <c r="C78" s="2" t="s">
        <v>4</v>
      </c>
      <c r="D78" s="2" t="s">
        <v>4</v>
      </c>
      <c r="E78" s="2" t="s">
        <v>4</v>
      </c>
      <c r="F78" s="2" t="s">
        <v>5</v>
      </c>
      <c r="G78" s="2"/>
    </row>
    <row r="79" spans="1:7" x14ac:dyDescent="0.25">
      <c r="A79" s="1" t="s">
        <v>26</v>
      </c>
      <c r="B79" s="1"/>
      <c r="C79" s="2"/>
      <c r="D79" s="2"/>
      <c r="E79" s="2"/>
      <c r="F79" s="2"/>
      <c r="G79" s="2"/>
    </row>
    <row r="80" spans="1:7" x14ac:dyDescent="0.25">
      <c r="A80" s="1" t="str">
        <f>"3-5021-100"</f>
        <v>3-5021-100</v>
      </c>
      <c r="B80" s="1" t="str">
        <f>"Salaries &amp; Wages"</f>
        <v>Salaries &amp; Wages</v>
      </c>
      <c r="C80" s="2">
        <v>29250</v>
      </c>
      <c r="D80" s="2">
        <v>28875.59</v>
      </c>
      <c r="E80" s="2">
        <v>30130</v>
      </c>
      <c r="F80" s="2">
        <v>9326.34</v>
      </c>
      <c r="G80" s="2">
        <f>E80*1.03</f>
        <v>31033.9</v>
      </c>
    </row>
    <row r="81" spans="1:7" x14ac:dyDescent="0.25">
      <c r="A81" s="1" t="str">
        <f>"3-5021-199"</f>
        <v>3-5021-199</v>
      </c>
      <c r="B81" s="1" t="str">
        <f>"Employer Paid Benefits"</f>
        <v>Employer Paid Benefits</v>
      </c>
      <c r="C81" s="2">
        <v>16500</v>
      </c>
      <c r="D81" s="2">
        <v>13367.86</v>
      </c>
      <c r="E81" s="2">
        <v>18360</v>
      </c>
      <c r="F81" s="2">
        <v>3755.03</v>
      </c>
      <c r="G81" s="2">
        <f>E81*1.05</f>
        <v>19278</v>
      </c>
    </row>
    <row r="82" spans="1:7" x14ac:dyDescent="0.25">
      <c r="A82" s="1" t="str">
        <f>"3-5021-201"</f>
        <v>3-5021-201</v>
      </c>
      <c r="B82" s="1" t="str">
        <f>"Operating Supplies"</f>
        <v>Operating Supplies</v>
      </c>
      <c r="C82" s="2">
        <v>7500</v>
      </c>
      <c r="D82" s="2">
        <v>1117.3900000000001</v>
      </c>
      <c r="E82" s="2">
        <v>5000</v>
      </c>
      <c r="F82" s="2">
        <v>1602.49</v>
      </c>
      <c r="G82" s="2">
        <v>5000</v>
      </c>
    </row>
    <row r="83" spans="1:7" x14ac:dyDescent="0.25">
      <c r="A83" s="1" t="str">
        <f>"3-5021-301"</f>
        <v>3-5021-301</v>
      </c>
      <c r="B83" s="1" t="str">
        <f>"Professional Services"</f>
        <v>Professional Services</v>
      </c>
      <c r="C83" s="2">
        <v>1000</v>
      </c>
      <c r="D83" s="2">
        <v>1347.48</v>
      </c>
      <c r="E83" s="2">
        <v>1000</v>
      </c>
      <c r="F83" s="2">
        <v>180</v>
      </c>
      <c r="G83" s="2">
        <v>1000</v>
      </c>
    </row>
    <row r="84" spans="1:7" x14ac:dyDescent="0.25">
      <c r="A84" s="1" t="str">
        <f>"3-5021-307"</f>
        <v>3-5021-307</v>
      </c>
      <c r="B84" s="1" t="str">
        <f>"Engineering Services"</f>
        <v>Engineering Services</v>
      </c>
      <c r="C84" s="2">
        <v>20000</v>
      </c>
      <c r="D84" s="2">
        <v>0</v>
      </c>
      <c r="E84" s="2">
        <v>20000</v>
      </c>
      <c r="F84" s="2">
        <v>0</v>
      </c>
      <c r="G84" s="2">
        <v>20000</v>
      </c>
    </row>
    <row r="85" spans="1:7" x14ac:dyDescent="0.25">
      <c r="A85" s="1" t="str">
        <f>"3-5021-321"</f>
        <v>3-5021-321</v>
      </c>
      <c r="B85" s="1" t="str">
        <f>"Sewer Line Cleaning"</f>
        <v>Sewer Line Cleaning</v>
      </c>
      <c r="C85" s="2">
        <v>10000</v>
      </c>
      <c r="D85" s="2">
        <v>5765</v>
      </c>
      <c r="E85" s="2">
        <v>10000</v>
      </c>
      <c r="F85" s="2">
        <v>9900</v>
      </c>
      <c r="G85" s="2">
        <v>12000</v>
      </c>
    </row>
    <row r="86" spans="1:7" x14ac:dyDescent="0.25">
      <c r="A86" s="1" t="str">
        <f>"3-5021-401"</f>
        <v>3-5021-401</v>
      </c>
      <c r="B86" s="1" t="str">
        <f>"Repairs &amp; Maintenance"</f>
        <v>Repairs &amp; Maintenance</v>
      </c>
      <c r="C86" s="2">
        <v>6000</v>
      </c>
      <c r="D86" s="2">
        <v>683.13</v>
      </c>
      <c r="E86" s="2">
        <v>10000</v>
      </c>
      <c r="F86" s="2">
        <v>747.72</v>
      </c>
      <c r="G86" s="2">
        <v>10000</v>
      </c>
    </row>
    <row r="87" spans="1:7" x14ac:dyDescent="0.25">
      <c r="A87" s="1" t="str">
        <f>"3-5021-402"</f>
        <v>3-5021-402</v>
      </c>
      <c r="B87" s="1" t="str">
        <f>"Manhole Repair &amp; Mainte"</f>
        <v>Manhole Repair &amp; Mainte</v>
      </c>
      <c r="C87" s="2">
        <v>20000</v>
      </c>
      <c r="D87" s="2">
        <v>5707.6</v>
      </c>
      <c r="E87" s="2">
        <v>20000</v>
      </c>
      <c r="F87" s="2">
        <v>400.26</v>
      </c>
      <c r="G87" s="2">
        <v>20000</v>
      </c>
    </row>
    <row r="88" spans="1:7" x14ac:dyDescent="0.25">
      <c r="A88" s="1" t="str">
        <f>"3-5021-404"</f>
        <v>3-5021-404</v>
      </c>
      <c r="B88" s="1" t="str">
        <f>"Influent Pump"</f>
        <v>Influent Pump</v>
      </c>
      <c r="C88" s="2">
        <v>0</v>
      </c>
      <c r="D88" s="2">
        <v>0</v>
      </c>
      <c r="E88" s="2">
        <v>11000</v>
      </c>
      <c r="F88" s="2">
        <v>0</v>
      </c>
      <c r="G88" s="2">
        <v>0</v>
      </c>
    </row>
    <row r="89" spans="1:7" x14ac:dyDescent="0.25">
      <c r="A89" s="1" t="str">
        <f>"3-5021-405"</f>
        <v>3-5021-405</v>
      </c>
      <c r="B89" s="1" t="str">
        <f>"Machinery &amp; Equipment"</f>
        <v>Machinery &amp; Equipment</v>
      </c>
      <c r="C89" s="2">
        <v>4000</v>
      </c>
      <c r="D89" s="2">
        <v>0</v>
      </c>
      <c r="E89" s="2">
        <v>500</v>
      </c>
      <c r="F89" s="2">
        <v>0</v>
      </c>
      <c r="G89" s="2">
        <v>500</v>
      </c>
    </row>
    <row r="90" spans="1:7" x14ac:dyDescent="0.25">
      <c r="A90" s="1" t="str">
        <f>"3-5021-412"</f>
        <v>3-5021-412</v>
      </c>
      <c r="B90" s="1" t="str">
        <f>"Sewer Line Mainte Equip"</f>
        <v>Sewer Line Mainte Equip</v>
      </c>
      <c r="C90" s="2">
        <v>600</v>
      </c>
      <c r="D90" s="2">
        <v>0</v>
      </c>
      <c r="E90" s="2">
        <v>600</v>
      </c>
      <c r="F90" s="2">
        <v>0</v>
      </c>
      <c r="G90" s="2">
        <v>600</v>
      </c>
    </row>
    <row r="91" spans="1:7" x14ac:dyDescent="0.25">
      <c r="A91" s="1" t="str">
        <f>"3-5021-425"</f>
        <v>3-5021-425</v>
      </c>
      <c r="B91" s="1" t="str">
        <f>"Rentals"</f>
        <v>Rentals</v>
      </c>
      <c r="C91" s="2">
        <v>500</v>
      </c>
      <c r="D91" s="2">
        <v>0</v>
      </c>
      <c r="E91" s="2">
        <v>400</v>
      </c>
      <c r="F91" s="2">
        <v>0</v>
      </c>
      <c r="G91" s="2">
        <v>400</v>
      </c>
    </row>
    <row r="92" spans="1:7" x14ac:dyDescent="0.25">
      <c r="A92" s="1" t="str">
        <f>"3-5021-811"</f>
        <v>3-5021-811</v>
      </c>
      <c r="B92" s="1" t="str">
        <f>"Recovery of Bad Debts"</f>
        <v>Recovery of Bad Debts</v>
      </c>
      <c r="C92" s="2">
        <v>0</v>
      </c>
      <c r="D92" s="2">
        <v>0</v>
      </c>
      <c r="E92" s="2">
        <v>0</v>
      </c>
      <c r="F92" s="2">
        <v>0</v>
      </c>
      <c r="G92" s="2"/>
    </row>
    <row r="93" spans="1:7" x14ac:dyDescent="0.25">
      <c r="A93" s="1" t="str">
        <f>"3-5021-826"</f>
        <v>3-5021-826</v>
      </c>
      <c r="B93" s="1" t="str">
        <f>"I I Improvements"</f>
        <v>I I Improvements</v>
      </c>
      <c r="C93" s="2">
        <v>500</v>
      </c>
      <c r="D93" s="2">
        <v>0</v>
      </c>
      <c r="E93" s="2">
        <v>5000</v>
      </c>
      <c r="F93" s="2">
        <v>0</v>
      </c>
      <c r="G93" s="2">
        <v>8000</v>
      </c>
    </row>
    <row r="94" spans="1:7" x14ac:dyDescent="0.25">
      <c r="A94" s="1" t="str">
        <f>""</f>
        <v/>
      </c>
      <c r="B94" s="1" t="str">
        <f>""</f>
        <v/>
      </c>
      <c r="C94" s="2" t="s">
        <v>4</v>
      </c>
      <c r="D94" s="2" t="s">
        <v>4</v>
      </c>
      <c r="E94" s="2" t="s">
        <v>4</v>
      </c>
      <c r="F94" s="2" t="s">
        <v>5</v>
      </c>
      <c r="G94" s="2"/>
    </row>
    <row r="95" spans="1:7" x14ac:dyDescent="0.25">
      <c r="A95" s="1" t="s">
        <v>27</v>
      </c>
      <c r="B95" s="1"/>
      <c r="C95" s="2">
        <v>115850</v>
      </c>
      <c r="D95" s="2">
        <v>56864.05</v>
      </c>
      <c r="E95" s="2">
        <v>131990</v>
      </c>
      <c r="F95" s="2">
        <v>25911.84</v>
      </c>
      <c r="G95" s="2">
        <f>SUM(G80:G93)</f>
        <v>127811.9</v>
      </c>
    </row>
    <row r="96" spans="1:7" x14ac:dyDescent="0.25">
      <c r="A96" s="1" t="str">
        <f>""</f>
        <v/>
      </c>
      <c r="B96" s="1" t="str">
        <f>""</f>
        <v/>
      </c>
      <c r="C96" s="2" t="s">
        <v>4</v>
      </c>
      <c r="D96" s="2" t="s">
        <v>4</v>
      </c>
      <c r="E96" s="2" t="s">
        <v>4</v>
      </c>
      <c r="F96" s="2" t="s">
        <v>5</v>
      </c>
      <c r="G96" s="2"/>
    </row>
    <row r="97" spans="1:7" x14ac:dyDescent="0.25">
      <c r="A97" s="1" t="s">
        <v>28</v>
      </c>
      <c r="B97" s="1"/>
      <c r="C97" s="2"/>
      <c r="D97" s="2"/>
      <c r="E97" s="2"/>
      <c r="F97" s="2"/>
      <c r="G97" s="2"/>
    </row>
    <row r="98" spans="1:7" x14ac:dyDescent="0.25">
      <c r="A98" s="1" t="str">
        <f>"3-5022-100"</f>
        <v>3-5022-100</v>
      </c>
      <c r="B98" s="1" t="str">
        <f>"Salaries &amp; Wages"</f>
        <v>Salaries &amp; Wages</v>
      </c>
      <c r="C98" s="2">
        <v>174500</v>
      </c>
      <c r="D98" s="2">
        <v>176124.98</v>
      </c>
      <c r="E98" s="2">
        <v>181480</v>
      </c>
      <c r="F98" s="2">
        <v>50374.55</v>
      </c>
      <c r="G98" s="2">
        <f>E98*1.03</f>
        <v>186924.4</v>
      </c>
    </row>
    <row r="99" spans="1:7" x14ac:dyDescent="0.25">
      <c r="A99" s="1" t="str">
        <f>"3-5022-199"</f>
        <v>3-5022-199</v>
      </c>
      <c r="B99" s="1" t="str">
        <f>"Employer Paid Benefits"</f>
        <v>Employer Paid Benefits</v>
      </c>
      <c r="C99" s="2">
        <v>80000</v>
      </c>
      <c r="D99" s="2">
        <v>87430.91</v>
      </c>
      <c r="E99" s="2">
        <v>89000</v>
      </c>
      <c r="F99" s="2">
        <v>21923.81</v>
      </c>
      <c r="G99" s="2">
        <f>E99*1.05</f>
        <v>93450</v>
      </c>
    </row>
    <row r="100" spans="1:7" x14ac:dyDescent="0.25">
      <c r="A100" s="1" t="str">
        <f>"3-5022-201"</f>
        <v>3-5022-201</v>
      </c>
      <c r="B100" s="1" t="str">
        <f>"Operating Supplies"</f>
        <v>Operating Supplies</v>
      </c>
      <c r="C100" s="2">
        <v>50000</v>
      </c>
      <c r="D100" s="2">
        <v>34356.74</v>
      </c>
      <c r="E100" s="2">
        <v>45000</v>
      </c>
      <c r="F100" s="2">
        <v>8106.1</v>
      </c>
      <c r="G100" s="2">
        <v>45000</v>
      </c>
    </row>
    <row r="101" spans="1:7" x14ac:dyDescent="0.25">
      <c r="A101" s="1" t="str">
        <f>"3-5022-202"</f>
        <v>3-5022-202</v>
      </c>
      <c r="B101" s="1" t="str">
        <f>"Office  Supplies"</f>
        <v>Office  Supplies</v>
      </c>
      <c r="C101" s="2">
        <v>600</v>
      </c>
      <c r="D101" s="2">
        <v>294.67</v>
      </c>
      <c r="E101" s="2">
        <v>600</v>
      </c>
      <c r="F101" s="2">
        <v>0</v>
      </c>
      <c r="G101" s="2">
        <v>600</v>
      </c>
    </row>
    <row r="102" spans="1:7" x14ac:dyDescent="0.25">
      <c r="A102" s="1" t="str">
        <f>"3-5022-203"</f>
        <v>3-5022-203</v>
      </c>
      <c r="B102" s="1" t="str">
        <f>"Repair &amp; Mainte Supplies"</f>
        <v>Repair &amp; Mainte Supplies</v>
      </c>
      <c r="C102" s="2">
        <v>7500</v>
      </c>
      <c r="D102" s="2">
        <v>11268.05</v>
      </c>
      <c r="E102" s="2">
        <v>5000</v>
      </c>
      <c r="F102" s="2">
        <v>622.04</v>
      </c>
      <c r="G102" s="2">
        <v>6000</v>
      </c>
    </row>
    <row r="103" spans="1:7" x14ac:dyDescent="0.25">
      <c r="A103" s="1" t="str">
        <f>"3-5022-301"</f>
        <v>3-5022-301</v>
      </c>
      <c r="B103" s="1" t="str">
        <f>"Professional Services"</f>
        <v>Professional Services</v>
      </c>
      <c r="C103" s="2">
        <v>2000</v>
      </c>
      <c r="D103" s="2">
        <v>4937.8</v>
      </c>
      <c r="E103" s="2">
        <v>3000</v>
      </c>
      <c r="F103" s="2">
        <v>1570.29</v>
      </c>
      <c r="G103" s="2">
        <v>5000</v>
      </c>
    </row>
    <row r="104" spans="1:7" x14ac:dyDescent="0.25">
      <c r="A104" s="1" t="str">
        <f>"3-5022-305"</f>
        <v>3-5022-305</v>
      </c>
      <c r="B104" s="1" t="str">
        <f>"Other Purchased Services"</f>
        <v>Other Purchased Services</v>
      </c>
      <c r="C104" s="2">
        <v>20000</v>
      </c>
      <c r="D104" s="2">
        <v>25546.31</v>
      </c>
      <c r="E104" s="2">
        <v>15000</v>
      </c>
      <c r="F104" s="2">
        <v>12988.08</v>
      </c>
      <c r="G104" s="2">
        <v>30000</v>
      </c>
    </row>
    <row r="105" spans="1:7" x14ac:dyDescent="0.25">
      <c r="A105" s="1" t="str">
        <f>"3-5022-306"</f>
        <v>3-5022-306</v>
      </c>
      <c r="B105" s="1" t="str">
        <f>"Uniforms  Protective Gear"</f>
        <v>Uniforms  Protective Gear</v>
      </c>
      <c r="C105" s="2">
        <v>7000</v>
      </c>
      <c r="D105" s="2">
        <v>5268.76</v>
      </c>
      <c r="E105" s="2">
        <v>5000</v>
      </c>
      <c r="F105" s="2">
        <v>1805.66</v>
      </c>
      <c r="G105" s="2">
        <v>6000</v>
      </c>
    </row>
    <row r="106" spans="1:7" x14ac:dyDescent="0.25">
      <c r="A106" s="1" t="str">
        <f>"3-5022-307"</f>
        <v>3-5022-307</v>
      </c>
      <c r="B106" s="1" t="str">
        <f>"Engineering Services"</f>
        <v>Engineering Services</v>
      </c>
      <c r="C106" s="2">
        <v>10000</v>
      </c>
      <c r="D106" s="2">
        <v>5485</v>
      </c>
      <c r="E106" s="2">
        <v>10000</v>
      </c>
      <c r="F106" s="2">
        <v>0</v>
      </c>
      <c r="G106" s="2">
        <v>20000</v>
      </c>
    </row>
    <row r="107" spans="1:7" x14ac:dyDescent="0.25">
      <c r="A107" s="1" t="str">
        <f>"3-5022-308"</f>
        <v>3-5022-308</v>
      </c>
      <c r="B107" s="1" t="str">
        <f>"Engineering Study Main Pl"</f>
        <v>Engineering Study Main Pl</v>
      </c>
      <c r="C107" s="2">
        <v>35000</v>
      </c>
      <c r="D107" s="2">
        <v>0</v>
      </c>
      <c r="E107" s="2">
        <v>85000</v>
      </c>
      <c r="F107" s="2">
        <v>0</v>
      </c>
      <c r="G107" s="2">
        <v>0</v>
      </c>
    </row>
    <row r="108" spans="1:7" x14ac:dyDescent="0.25">
      <c r="A108" s="1" t="str">
        <f>"3-5022-310"</f>
        <v>3-5022-310</v>
      </c>
      <c r="B108" s="1" t="str">
        <f>"Laboratory Testing"</f>
        <v>Laboratory Testing</v>
      </c>
      <c r="C108" s="2">
        <v>18000</v>
      </c>
      <c r="D108" s="2">
        <v>12936.89</v>
      </c>
      <c r="E108" s="2">
        <v>16500</v>
      </c>
      <c r="F108" s="2">
        <v>3375</v>
      </c>
      <c r="G108" s="2">
        <v>15000</v>
      </c>
    </row>
    <row r="109" spans="1:7" x14ac:dyDescent="0.25">
      <c r="A109" s="1" t="str">
        <f>"3-5022-320"</f>
        <v>3-5022-320</v>
      </c>
      <c r="B109" s="1" t="str">
        <f>"Test/Monitor Wells"</f>
        <v>Test/Monitor Wells</v>
      </c>
      <c r="C109" s="2">
        <v>100</v>
      </c>
      <c r="D109" s="2">
        <v>0</v>
      </c>
      <c r="E109" s="2">
        <v>100</v>
      </c>
      <c r="F109" s="2">
        <v>0</v>
      </c>
      <c r="G109" s="2">
        <v>0</v>
      </c>
    </row>
    <row r="110" spans="1:7" x14ac:dyDescent="0.25">
      <c r="A110" s="1" t="str">
        <f>"3-5022-401"</f>
        <v>3-5022-401</v>
      </c>
      <c r="B110" s="1" t="str">
        <f>"Repair &amp; Maintenance"</f>
        <v>Repair &amp; Maintenance</v>
      </c>
      <c r="C110" s="2">
        <v>12000</v>
      </c>
      <c r="D110" s="2">
        <v>11378.24</v>
      </c>
      <c r="E110" s="2">
        <v>12000</v>
      </c>
      <c r="F110" s="2">
        <v>7299</v>
      </c>
      <c r="G110" s="2">
        <v>15000</v>
      </c>
    </row>
    <row r="111" spans="1:7" x14ac:dyDescent="0.25">
      <c r="A111" s="1" t="str">
        <f>"3-5022-409"</f>
        <v>3-5022-409</v>
      </c>
      <c r="B111" s="1" t="str">
        <f>"Small Tools &amp; Equipment"</f>
        <v>Small Tools &amp; Equipment</v>
      </c>
      <c r="C111" s="2">
        <v>2000</v>
      </c>
      <c r="D111" s="2">
        <v>733.74</v>
      </c>
      <c r="E111" s="2">
        <v>2000</v>
      </c>
      <c r="F111" s="2">
        <v>348.89</v>
      </c>
      <c r="G111" s="2">
        <v>1000</v>
      </c>
    </row>
    <row r="112" spans="1:7" x14ac:dyDescent="0.25">
      <c r="A112" s="1" t="str">
        <f>"3-5022-425"</f>
        <v>3-5022-425</v>
      </c>
      <c r="B112" s="1" t="str">
        <f>"Field Rental"</f>
        <v>Field Rental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</row>
    <row r="113" spans="1:7" x14ac:dyDescent="0.25">
      <c r="A113" s="1" t="str">
        <f>"3-5022-426"</f>
        <v>3-5022-426</v>
      </c>
      <c r="B113" s="1" t="str">
        <f>"Dewatering"</f>
        <v>Dewatering</v>
      </c>
      <c r="C113" s="2">
        <v>70000</v>
      </c>
      <c r="D113" s="2">
        <v>51699.92</v>
      </c>
      <c r="E113" s="2">
        <v>82000</v>
      </c>
      <c r="F113" s="2">
        <v>0</v>
      </c>
      <c r="G113" s="2">
        <v>75000</v>
      </c>
    </row>
    <row r="114" spans="1:7" x14ac:dyDescent="0.25">
      <c r="A114" s="1" t="str">
        <f>"3-5022-501"</f>
        <v>3-5022-501</v>
      </c>
      <c r="B114" s="1" t="str">
        <f>"Utilities"</f>
        <v>Utilities</v>
      </c>
      <c r="C114" s="2">
        <v>100000</v>
      </c>
      <c r="D114" s="2">
        <v>58421.68</v>
      </c>
      <c r="E114" s="2">
        <v>80000</v>
      </c>
      <c r="F114" s="2">
        <v>16213.99</v>
      </c>
      <c r="G114" s="2">
        <v>75000</v>
      </c>
    </row>
    <row r="115" spans="1:7" x14ac:dyDescent="0.25">
      <c r="A115" s="1" t="str">
        <f>"3-5022-502"</f>
        <v>3-5022-502</v>
      </c>
      <c r="B115" s="1" t="str">
        <f>"Communications"</f>
        <v>Communications</v>
      </c>
      <c r="C115" s="2">
        <v>5000</v>
      </c>
      <c r="D115" s="2">
        <v>2446.2399999999998</v>
      </c>
      <c r="E115" s="2">
        <v>5000</v>
      </c>
      <c r="F115" s="2">
        <v>716.92</v>
      </c>
      <c r="G115" s="2">
        <v>4000</v>
      </c>
    </row>
    <row r="116" spans="1:7" x14ac:dyDescent="0.25">
      <c r="A116" s="1" t="str">
        <f>"3-5022-601"</f>
        <v>3-5022-601</v>
      </c>
      <c r="B116" s="1" t="str">
        <f>"Travel &amp; Transportation"</f>
        <v>Travel &amp; Transportation</v>
      </c>
      <c r="C116" s="2">
        <v>200</v>
      </c>
      <c r="D116" s="2">
        <v>686.31</v>
      </c>
      <c r="E116" s="2">
        <v>200</v>
      </c>
      <c r="F116" s="2">
        <v>0</v>
      </c>
      <c r="G116" s="2">
        <v>200</v>
      </c>
    </row>
    <row r="117" spans="1:7" x14ac:dyDescent="0.25">
      <c r="A117" s="1" t="str">
        <f>"3-5022-603"</f>
        <v>3-5022-603</v>
      </c>
      <c r="B117" s="1" t="str">
        <f>"Dues  Subs &amp; Meetings"</f>
        <v>Dues  Subs &amp; Meetings</v>
      </c>
      <c r="C117" s="2">
        <v>1000</v>
      </c>
      <c r="D117" s="2">
        <v>384</v>
      </c>
      <c r="E117" s="2">
        <v>1000</v>
      </c>
      <c r="F117" s="2">
        <v>0</v>
      </c>
      <c r="G117" s="2">
        <v>1000</v>
      </c>
    </row>
    <row r="118" spans="1:7" x14ac:dyDescent="0.25">
      <c r="A118" s="1" t="str">
        <f>"3-5022-709"</f>
        <v>3-5022-709</v>
      </c>
      <c r="B118" s="1" t="str">
        <f>"Field Lime"</f>
        <v>Field Lime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</row>
    <row r="119" spans="1:7" x14ac:dyDescent="0.25">
      <c r="A119" s="1" t="str">
        <f>"3-5022-801"</f>
        <v>3-5022-801</v>
      </c>
      <c r="B119" s="1" t="str">
        <f>"Contingency Account"</f>
        <v>Contingency Account</v>
      </c>
      <c r="C119" s="2">
        <v>11000</v>
      </c>
      <c r="D119" s="2">
        <v>2636.34</v>
      </c>
      <c r="E119" s="2">
        <v>6000</v>
      </c>
      <c r="F119" s="2">
        <v>0</v>
      </c>
      <c r="G119" s="2">
        <v>10000</v>
      </c>
    </row>
    <row r="120" spans="1:7" x14ac:dyDescent="0.25">
      <c r="A120" s="1" t="str">
        <f>"3-5022-805"</f>
        <v>3-5022-805</v>
      </c>
      <c r="B120" s="1" t="str">
        <f>"Emergency Pump Station"</f>
        <v>Emergency Pump Station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</row>
    <row r="121" spans="1:7" x14ac:dyDescent="0.25">
      <c r="A121" s="1" t="str">
        <f>"3-5022-807"</f>
        <v>3-5022-807</v>
      </c>
      <c r="B121" s="1" t="str">
        <f>"Bond Repayment"</f>
        <v>Bond Repayment</v>
      </c>
      <c r="C121" s="2">
        <v>37675</v>
      </c>
      <c r="D121" s="2">
        <v>37675</v>
      </c>
      <c r="E121" s="2">
        <v>0</v>
      </c>
      <c r="F121" s="2">
        <v>0</v>
      </c>
      <c r="G121" s="2" t="s">
        <v>40</v>
      </c>
    </row>
    <row r="122" spans="1:7" x14ac:dyDescent="0.25">
      <c r="A122" s="1" t="str">
        <f>"3-5022-809"</f>
        <v>3-5022-809</v>
      </c>
      <c r="B122" s="1" t="str">
        <f>"Taxes  Licensing &amp; Regs"</f>
        <v>Taxes  Licensing &amp; Regs</v>
      </c>
      <c r="C122" s="2">
        <v>2400</v>
      </c>
      <c r="D122" s="2">
        <v>895.42</v>
      </c>
      <c r="E122" s="2">
        <v>3600</v>
      </c>
      <c r="F122" s="2">
        <v>720</v>
      </c>
      <c r="G122" s="2">
        <v>3000</v>
      </c>
    </row>
    <row r="123" spans="1:7" x14ac:dyDescent="0.25">
      <c r="A123" s="1" t="str">
        <f>"3-5022-815"</f>
        <v>3-5022-815</v>
      </c>
      <c r="B123" s="1" t="str">
        <f>"Insurance &amp; Fidelity Bond"</f>
        <v>Insurance &amp; Fidelity Bond</v>
      </c>
      <c r="C123" s="2">
        <v>44000</v>
      </c>
      <c r="D123" s="2">
        <v>52981.84</v>
      </c>
      <c r="E123" s="2">
        <v>40000</v>
      </c>
      <c r="F123" s="2">
        <v>7268.31</v>
      </c>
      <c r="G123" s="2">
        <v>50000</v>
      </c>
    </row>
    <row r="124" spans="1:7" x14ac:dyDescent="0.25">
      <c r="A124" s="1" t="str">
        <f>"3-5022-816"</f>
        <v>3-5022-816</v>
      </c>
      <c r="B124" s="1" t="str">
        <f>"Well Work &amp; Replacement"</f>
        <v>Well Work &amp; Replacement</v>
      </c>
      <c r="C124" s="2">
        <v>0</v>
      </c>
      <c r="D124" s="2">
        <v>0</v>
      </c>
      <c r="E124" s="2">
        <v>40000</v>
      </c>
      <c r="F124" s="2">
        <v>0</v>
      </c>
      <c r="G124" s="2">
        <v>0</v>
      </c>
    </row>
    <row r="125" spans="1:7" x14ac:dyDescent="0.25">
      <c r="A125" s="1" t="str">
        <f>"3-5022-820"</f>
        <v>3-5022-820</v>
      </c>
      <c r="B125" s="1" t="str">
        <f>"S. Wdstk Bond Repayment"</f>
        <v>S. Wdstk Bond Repayment</v>
      </c>
      <c r="C125" s="2">
        <v>0</v>
      </c>
      <c r="D125" s="2">
        <v>0</v>
      </c>
      <c r="E125" s="2">
        <v>93500</v>
      </c>
      <c r="F125" s="2">
        <v>0</v>
      </c>
      <c r="G125" s="2">
        <v>93500</v>
      </c>
    </row>
    <row r="126" spans="1:7" x14ac:dyDescent="0.25">
      <c r="A126" s="1" t="str">
        <f>"3-5022-821"</f>
        <v>3-5022-821</v>
      </c>
      <c r="B126" s="1" t="str">
        <f>"S Wdstk Bond Interest"</f>
        <v>S Wdstk Bond Interest</v>
      </c>
      <c r="C126" s="2">
        <v>0</v>
      </c>
      <c r="D126" s="2">
        <v>0</v>
      </c>
      <c r="E126" s="2">
        <v>2800</v>
      </c>
      <c r="F126" s="2">
        <v>0</v>
      </c>
      <c r="G126" s="2">
        <v>2800</v>
      </c>
    </row>
    <row r="127" spans="1:7" x14ac:dyDescent="0.25">
      <c r="A127" s="1" t="str">
        <f>""</f>
        <v/>
      </c>
      <c r="B127" s="1" t="str">
        <f>""</f>
        <v/>
      </c>
      <c r="C127" s="2" t="s">
        <v>4</v>
      </c>
      <c r="D127" s="2" t="s">
        <v>4</v>
      </c>
      <c r="E127" s="2" t="s">
        <v>4</v>
      </c>
      <c r="F127" s="2" t="s">
        <v>5</v>
      </c>
      <c r="G127" s="2"/>
    </row>
    <row r="128" spans="1:7" x14ac:dyDescent="0.25">
      <c r="A128" s="1" t="s">
        <v>29</v>
      </c>
      <c r="B128" s="1"/>
      <c r="C128" s="2">
        <v>689975</v>
      </c>
      <c r="D128" s="2">
        <v>583588.84</v>
      </c>
      <c r="E128" s="2">
        <v>823780</v>
      </c>
      <c r="F128" s="2">
        <v>133332.64000000001</v>
      </c>
      <c r="G128" s="2">
        <f>SUM(G98:G126)</f>
        <v>738474.4</v>
      </c>
    </row>
    <row r="129" spans="1:7" x14ac:dyDescent="0.25">
      <c r="A129" s="1" t="str">
        <f>""</f>
        <v/>
      </c>
      <c r="B129" s="1" t="str">
        <f>""</f>
        <v/>
      </c>
      <c r="C129" s="2" t="s">
        <v>4</v>
      </c>
      <c r="D129" s="2" t="s">
        <v>4</v>
      </c>
      <c r="E129" s="2" t="s">
        <v>4</v>
      </c>
      <c r="F129" s="2" t="s">
        <v>5</v>
      </c>
      <c r="G129" s="2"/>
    </row>
    <row r="130" spans="1:7" x14ac:dyDescent="0.25">
      <c r="A130" s="1" t="s">
        <v>30</v>
      </c>
      <c r="B130" s="1"/>
      <c r="C130" s="2"/>
      <c r="D130" s="2"/>
      <c r="E130" s="2"/>
      <c r="F130" s="2"/>
      <c r="G130" s="2"/>
    </row>
    <row r="131" spans="1:7" x14ac:dyDescent="0.25">
      <c r="A131" s="1" t="str">
        <f>"3-5023-203"</f>
        <v>3-5023-203</v>
      </c>
      <c r="B131" s="1" t="str">
        <f>"Repair &amp; Mainte Supplies"</f>
        <v>Repair &amp; Mainte Supplies</v>
      </c>
      <c r="C131" s="2">
        <v>10000</v>
      </c>
      <c r="D131" s="2">
        <v>9246.86</v>
      </c>
      <c r="E131" s="2">
        <v>8000</v>
      </c>
      <c r="F131" s="2">
        <v>1475.97</v>
      </c>
      <c r="G131" s="2">
        <v>5000</v>
      </c>
    </row>
    <row r="132" spans="1:7" x14ac:dyDescent="0.25">
      <c r="A132" s="1" t="str">
        <f>"3-5023-410"</f>
        <v>3-5023-410</v>
      </c>
      <c r="B132" s="1" t="str">
        <f>"Ton Truck Lease"</f>
        <v>Ton Truck Lease</v>
      </c>
      <c r="C132" s="2">
        <v>0</v>
      </c>
      <c r="D132" s="2">
        <v>0</v>
      </c>
      <c r="E132" s="2">
        <v>0</v>
      </c>
      <c r="F132" s="2">
        <v>0</v>
      </c>
      <c r="G132" s="2">
        <v>11000</v>
      </c>
    </row>
    <row r="133" spans="1:7" x14ac:dyDescent="0.25">
      <c r="A133" s="1" t="str">
        <f>"3-5023-411"</f>
        <v>3-5023-411</v>
      </c>
      <c r="B133" s="1" t="str">
        <f>"F-150 Lease"</f>
        <v>F-150 Lease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</row>
    <row r="134" spans="1:7" x14ac:dyDescent="0.25">
      <c r="A134" s="1" t="str">
        <f>"3-5023-412"</f>
        <v>3-5023-412</v>
      </c>
      <c r="B134" s="1" t="str">
        <f>"Town Mgr F-150 Lease"</f>
        <v>Town Mgr F-150 Lease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</row>
    <row r="135" spans="1:7" x14ac:dyDescent="0.25">
      <c r="A135" s="1" t="str">
        <f>"3-5023-601"</f>
        <v>3-5023-601</v>
      </c>
      <c r="B135" s="1" t="str">
        <f>"Fuel"</f>
        <v>Fuel</v>
      </c>
      <c r="C135" s="2">
        <v>6000</v>
      </c>
      <c r="D135" s="2">
        <v>4031.52</v>
      </c>
      <c r="E135" s="2">
        <v>5000</v>
      </c>
      <c r="F135" s="2">
        <v>823.06</v>
      </c>
      <c r="G135" s="2">
        <v>5500</v>
      </c>
    </row>
    <row r="136" spans="1:7" x14ac:dyDescent="0.25">
      <c r="A136" s="1"/>
      <c r="B136" s="1" t="s">
        <v>42</v>
      </c>
      <c r="C136" s="2"/>
      <c r="D136" s="2"/>
      <c r="E136" s="2"/>
      <c r="F136" s="2"/>
      <c r="G136" s="2">
        <v>43000</v>
      </c>
    </row>
    <row r="137" spans="1:7" x14ac:dyDescent="0.25">
      <c r="A137" s="1" t="str">
        <f>""</f>
        <v/>
      </c>
      <c r="B137" s="1" t="str">
        <f>""</f>
        <v/>
      </c>
      <c r="C137" s="2" t="s">
        <v>4</v>
      </c>
      <c r="D137" s="2" t="s">
        <v>4</v>
      </c>
      <c r="E137" s="2" t="s">
        <v>4</v>
      </c>
      <c r="F137" s="2" t="s">
        <v>5</v>
      </c>
      <c r="G137" s="2"/>
    </row>
    <row r="138" spans="1:7" x14ac:dyDescent="0.25">
      <c r="A138" s="1" t="s">
        <v>31</v>
      </c>
      <c r="B138" s="1"/>
      <c r="C138" s="2">
        <v>16000</v>
      </c>
      <c r="D138" s="2">
        <v>13278.38</v>
      </c>
      <c r="E138" s="2">
        <v>13000</v>
      </c>
      <c r="F138" s="2">
        <v>2299.0300000000002</v>
      </c>
      <c r="G138" s="2">
        <f>SUM(G131:G136)</f>
        <v>64500</v>
      </c>
    </row>
    <row r="139" spans="1:7" x14ac:dyDescent="0.25">
      <c r="A139" s="1" t="str">
        <f>""</f>
        <v/>
      </c>
      <c r="B139" s="1" t="str">
        <f>""</f>
        <v/>
      </c>
      <c r="C139" s="2" t="s">
        <v>4</v>
      </c>
      <c r="D139" s="2" t="s">
        <v>4</v>
      </c>
      <c r="E139" s="2" t="s">
        <v>4</v>
      </c>
      <c r="F139" s="2" t="s">
        <v>5</v>
      </c>
      <c r="G139" s="2"/>
    </row>
    <row r="140" spans="1:7" x14ac:dyDescent="0.25">
      <c r="A140" s="1" t="str">
        <f>""</f>
        <v/>
      </c>
      <c r="B140" s="1" t="str">
        <f>""</f>
        <v/>
      </c>
      <c r="C140" s="2"/>
      <c r="D140" s="2"/>
      <c r="E140" s="2"/>
      <c r="F140" s="2"/>
      <c r="G140" s="2"/>
    </row>
    <row r="141" spans="1:7" x14ac:dyDescent="0.25">
      <c r="A141" s="1" t="s">
        <v>32</v>
      </c>
      <c r="B141" s="1"/>
      <c r="C141" s="2"/>
      <c r="D141" s="2"/>
      <c r="E141" s="2"/>
      <c r="F141" s="2"/>
      <c r="G141" s="2"/>
    </row>
    <row r="142" spans="1:7" x14ac:dyDescent="0.25">
      <c r="A142" s="1" t="str">
        <f>"3-5029-199"</f>
        <v>3-5029-199</v>
      </c>
      <c r="B142" s="1" t="str">
        <f>"Comp. Unused Sick/Vac"</f>
        <v>Comp. Unused Sick/Vac</v>
      </c>
      <c r="C142" s="2">
        <v>35000</v>
      </c>
      <c r="D142" s="2">
        <v>35000</v>
      </c>
      <c r="E142" s="2">
        <v>10000</v>
      </c>
      <c r="F142" s="2">
        <v>0</v>
      </c>
      <c r="G142" s="2">
        <v>10000</v>
      </c>
    </row>
    <row r="143" spans="1:7" x14ac:dyDescent="0.25">
      <c r="A143" s="1" t="str">
        <f>"3-5029-936"</f>
        <v>3-5029-936</v>
      </c>
      <c r="B143" s="1" t="str">
        <f>"Manager's Pick-up Truck"</f>
        <v>Manager's Pick-up Truck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</row>
    <row r="144" spans="1:7" x14ac:dyDescent="0.25">
      <c r="A144" s="1" t="str">
        <f>"3-5029-937"</f>
        <v>3-5029-937</v>
      </c>
      <c r="B144" s="1" t="str">
        <f>"F-350 Ton Truck"</f>
        <v>F-350 Ton Truck</v>
      </c>
      <c r="C144" s="2">
        <v>3000</v>
      </c>
      <c r="D144" s="2">
        <v>3000</v>
      </c>
      <c r="E144" s="2">
        <v>3000</v>
      </c>
      <c r="F144" s="2">
        <v>0</v>
      </c>
      <c r="G144" s="2"/>
    </row>
    <row r="145" spans="1:7" x14ac:dyDescent="0.25">
      <c r="A145" s="1" t="str">
        <f>"3-5029-945"</f>
        <v>3-5029-945</v>
      </c>
      <c r="B145" s="1" t="str">
        <f>"F-150 Pick-up"</f>
        <v>F-150 Pick-up</v>
      </c>
      <c r="C145" s="2">
        <v>3000</v>
      </c>
      <c r="D145" s="2">
        <v>3000</v>
      </c>
      <c r="E145" s="2">
        <v>3000</v>
      </c>
      <c r="F145" s="2">
        <v>0</v>
      </c>
      <c r="G145" s="2">
        <v>3000</v>
      </c>
    </row>
    <row r="146" spans="1:7" x14ac:dyDescent="0.25">
      <c r="A146" s="1" t="str">
        <f>"3-5029-975"</f>
        <v>3-5029-975</v>
      </c>
      <c r="B146" s="1" t="str">
        <f>"Repairs &amp; Maintenance"</f>
        <v>Repairs &amp; Maintenance</v>
      </c>
      <c r="C146" s="2">
        <v>20000</v>
      </c>
      <c r="D146" s="2">
        <v>20000</v>
      </c>
      <c r="E146" s="2">
        <v>0</v>
      </c>
      <c r="F146" s="2">
        <v>0</v>
      </c>
      <c r="G146" s="2">
        <v>50000</v>
      </c>
    </row>
    <row r="147" spans="1:7" x14ac:dyDescent="0.25">
      <c r="A147" s="1" t="str">
        <f>"3-5029-976"</f>
        <v>3-5029-976</v>
      </c>
      <c r="B147" s="1" t="str">
        <f>"Tractor"</f>
        <v>Tractor</v>
      </c>
      <c r="C147" s="2">
        <v>5000</v>
      </c>
      <c r="D147" s="2">
        <v>5000</v>
      </c>
      <c r="E147" s="2">
        <v>0</v>
      </c>
      <c r="F147" s="2">
        <v>0</v>
      </c>
      <c r="G147" s="2">
        <v>0</v>
      </c>
    </row>
    <row r="148" spans="1:7" x14ac:dyDescent="0.25">
      <c r="A148" s="1" t="str">
        <f>"3-5029-977"</f>
        <v>3-5029-977</v>
      </c>
      <c r="B148" s="1" t="str">
        <f>"Sludge Spreading Truck"</f>
        <v>Sludge Spreading Truck</v>
      </c>
      <c r="C148" s="2">
        <v>25000</v>
      </c>
      <c r="D148" s="2">
        <v>25000</v>
      </c>
      <c r="E148" s="2">
        <v>0</v>
      </c>
      <c r="F148" s="2">
        <v>0</v>
      </c>
      <c r="G148" s="2">
        <v>0</v>
      </c>
    </row>
    <row r="149" spans="1:7" x14ac:dyDescent="0.25">
      <c r="A149" s="1" t="str">
        <f>"3-5029-978"</f>
        <v>3-5029-978</v>
      </c>
      <c r="B149" s="1" t="str">
        <f>"Line Flusher"</f>
        <v>Line Flusher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</row>
    <row r="150" spans="1:7" x14ac:dyDescent="0.25">
      <c r="A150" s="1" t="str">
        <f>"3-5029-979"</f>
        <v>3-5029-979</v>
      </c>
      <c r="B150" s="1" t="str">
        <f>"TV Camera"</f>
        <v>TV Camera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</row>
    <row r="151" spans="1:7" x14ac:dyDescent="0.25">
      <c r="A151" s="1" t="str">
        <f>"3-5029-980"</f>
        <v>3-5029-980</v>
      </c>
      <c r="B151" s="1" t="str">
        <f>"Influent Pump"</f>
        <v>Influent Pump</v>
      </c>
      <c r="C151" s="2">
        <v>2000</v>
      </c>
      <c r="D151" s="2">
        <v>2000</v>
      </c>
      <c r="E151" s="2">
        <v>2000</v>
      </c>
      <c r="F151" s="2">
        <v>0</v>
      </c>
      <c r="G151" s="2">
        <v>2000</v>
      </c>
    </row>
    <row r="152" spans="1:7" x14ac:dyDescent="0.25">
      <c r="A152" s="1"/>
      <c r="B152" s="1"/>
      <c r="C152" s="2"/>
      <c r="D152" s="2"/>
      <c r="E152" s="2"/>
      <c r="F152" s="2"/>
      <c r="G152" s="2"/>
    </row>
    <row r="153" spans="1:7" x14ac:dyDescent="0.25">
      <c r="A153" s="1" t="str">
        <f>""</f>
        <v/>
      </c>
      <c r="B153" s="1" t="str">
        <f>""</f>
        <v/>
      </c>
      <c r="C153" s="2" t="s">
        <v>4</v>
      </c>
      <c r="D153" s="2" t="s">
        <v>4</v>
      </c>
      <c r="E153" s="2" t="s">
        <v>4</v>
      </c>
      <c r="F153" s="2" t="s">
        <v>5</v>
      </c>
      <c r="G153" s="2"/>
    </row>
    <row r="154" spans="1:7" x14ac:dyDescent="0.25">
      <c r="A154" s="1" t="s">
        <v>33</v>
      </c>
      <c r="B154" s="1"/>
      <c r="C154" s="2">
        <v>93000</v>
      </c>
      <c r="D154" s="2">
        <v>93000</v>
      </c>
      <c r="E154" s="2">
        <v>18000</v>
      </c>
      <c r="F154" s="2">
        <v>0</v>
      </c>
      <c r="G154" s="2">
        <f>SUM(G142:G151)</f>
        <v>65000</v>
      </c>
    </row>
    <row r="155" spans="1:7" x14ac:dyDescent="0.25">
      <c r="A155" s="1" t="str">
        <f>""</f>
        <v/>
      </c>
      <c r="B155" s="1" t="str">
        <f>""</f>
        <v/>
      </c>
      <c r="C155" s="2" t="s">
        <v>4</v>
      </c>
      <c r="D155" s="2" t="s">
        <v>4</v>
      </c>
      <c r="E155" s="2" t="s">
        <v>4</v>
      </c>
      <c r="F155" s="2" t="s">
        <v>5</v>
      </c>
      <c r="G155" s="2"/>
    </row>
    <row r="156" spans="1:7" x14ac:dyDescent="0.25">
      <c r="A156" s="1" t="str">
        <f>""</f>
        <v/>
      </c>
      <c r="B156" s="1" t="str">
        <f>""</f>
        <v/>
      </c>
      <c r="C156" s="2"/>
      <c r="D156" s="2"/>
      <c r="E156" s="2"/>
      <c r="F156" s="2"/>
      <c r="G156" s="2"/>
    </row>
    <row r="157" spans="1:7" x14ac:dyDescent="0.25">
      <c r="A157" s="1" t="s">
        <v>34</v>
      </c>
      <c r="B157" s="1"/>
      <c r="C157" s="2"/>
      <c r="D157" s="2"/>
      <c r="E157" s="2"/>
      <c r="F157" s="2"/>
      <c r="G157" s="2"/>
    </row>
    <row r="158" spans="1:7" x14ac:dyDescent="0.25">
      <c r="A158" s="1" t="str">
        <f>"3-5099-926"</f>
        <v>3-5099-926</v>
      </c>
      <c r="B158" s="1" t="str">
        <f>"Manager's Pick-up"</f>
        <v>Manager's Pick-up</v>
      </c>
      <c r="C158" s="2">
        <v>0</v>
      </c>
      <c r="D158" s="2">
        <v>0</v>
      </c>
      <c r="E158" s="2">
        <v>0</v>
      </c>
      <c r="F158" s="2">
        <v>0</v>
      </c>
      <c r="G158" s="2"/>
    </row>
    <row r="159" spans="1:7" x14ac:dyDescent="0.25">
      <c r="A159" s="1" t="str">
        <f>"3-5099-927"</f>
        <v>3-5099-927</v>
      </c>
      <c r="B159" s="1" t="str">
        <f>"Pick-up"</f>
        <v>Pick-up</v>
      </c>
      <c r="C159" s="2">
        <v>0</v>
      </c>
      <c r="D159" s="2">
        <v>0</v>
      </c>
      <c r="E159" s="2">
        <v>0</v>
      </c>
      <c r="F159" s="2">
        <v>0</v>
      </c>
      <c r="G159" s="2"/>
    </row>
    <row r="160" spans="1:7" x14ac:dyDescent="0.25">
      <c r="A160" s="1" t="str">
        <f>"3-5099-928"</f>
        <v>3-5099-928</v>
      </c>
      <c r="B160" s="1" t="str">
        <f>"F-150 Payment"</f>
        <v>F-150 Payment</v>
      </c>
      <c r="C160" s="2">
        <v>10000</v>
      </c>
      <c r="D160" s="2">
        <v>0</v>
      </c>
      <c r="E160" s="2">
        <v>0</v>
      </c>
      <c r="F160" s="2">
        <v>0</v>
      </c>
      <c r="G160" s="2"/>
    </row>
    <row r="161" spans="1:7" x14ac:dyDescent="0.25">
      <c r="A161" s="1" t="str">
        <f>"3-5099-929"</f>
        <v>3-5099-929</v>
      </c>
      <c r="B161" s="1" t="str">
        <f>"Sludge Truck"</f>
        <v>Sludge Truck</v>
      </c>
      <c r="C161" s="2">
        <v>25000</v>
      </c>
      <c r="D161" s="2">
        <v>0</v>
      </c>
      <c r="E161" s="2">
        <v>250000</v>
      </c>
      <c r="F161" s="2"/>
      <c r="G161" s="2"/>
    </row>
    <row r="162" spans="1:7" x14ac:dyDescent="0.25">
      <c r="A162" s="1" t="str">
        <f>"3-5099-932"</f>
        <v>3-5099-932</v>
      </c>
      <c r="B162" s="1" t="str">
        <f>"Office Equipment"</f>
        <v>Office Equipment</v>
      </c>
      <c r="C162" s="2">
        <v>0</v>
      </c>
      <c r="D162" s="2">
        <v>0</v>
      </c>
      <c r="E162" s="2">
        <v>0</v>
      </c>
      <c r="F162" s="2">
        <v>0</v>
      </c>
      <c r="G162" s="2"/>
    </row>
    <row r="163" spans="1:7" x14ac:dyDescent="0.25">
      <c r="A163" s="1" t="str">
        <f>"3-5099-933"</f>
        <v>3-5099-933</v>
      </c>
      <c r="B163" s="1" t="str">
        <f>"Return Sludge Pumps"</f>
        <v>Return Sludge Pumps</v>
      </c>
      <c r="C163" s="2">
        <v>0</v>
      </c>
      <c r="D163" s="2">
        <v>0</v>
      </c>
      <c r="E163" s="2">
        <v>0</v>
      </c>
      <c r="F163" s="2">
        <v>0</v>
      </c>
      <c r="G163" s="2"/>
    </row>
    <row r="164" spans="1:7" x14ac:dyDescent="0.25">
      <c r="A164" s="1" t="str">
        <f>"3-5099-934"</f>
        <v>3-5099-934</v>
      </c>
      <c r="B164" s="1" t="str">
        <f>"Replace Chlorine Gas"</f>
        <v>Replace Chlorine Gas</v>
      </c>
      <c r="C164" s="2">
        <v>0</v>
      </c>
      <c r="D164" s="2">
        <v>0</v>
      </c>
      <c r="E164" s="2">
        <v>0</v>
      </c>
      <c r="F164" s="2">
        <v>0</v>
      </c>
      <c r="G164" s="2"/>
    </row>
    <row r="165" spans="1:7" x14ac:dyDescent="0.25">
      <c r="A165" s="1" t="str">
        <f>"3-5099-935"</f>
        <v>3-5099-935</v>
      </c>
      <c r="B165" s="1" t="str">
        <f>"In Stream Pipe Armour"</f>
        <v>In Stream Pipe Armour</v>
      </c>
      <c r="C165" s="2">
        <v>0</v>
      </c>
      <c r="D165" s="2">
        <v>0</v>
      </c>
      <c r="E165" s="2">
        <v>0</v>
      </c>
      <c r="F165" s="2">
        <v>0</v>
      </c>
      <c r="G165" s="2"/>
    </row>
    <row r="166" spans="1:7" x14ac:dyDescent="0.25">
      <c r="A166" s="1" t="str">
        <f>"3-5099-936"</f>
        <v>3-5099-936</v>
      </c>
      <c r="B166" s="1" t="str">
        <f>"Paving-West Woodstock"</f>
        <v>Paving-West Woodstock</v>
      </c>
      <c r="C166" s="2">
        <v>0</v>
      </c>
      <c r="D166" s="2">
        <v>0</v>
      </c>
      <c r="E166" s="2">
        <v>0</v>
      </c>
      <c r="F166" s="2">
        <v>0</v>
      </c>
      <c r="G166" s="2"/>
    </row>
    <row r="167" spans="1:7" x14ac:dyDescent="0.25">
      <c r="A167" s="1" t="str">
        <f>"3-5099-937"</f>
        <v>3-5099-937</v>
      </c>
      <c r="B167" s="1" t="str">
        <f>"Paving-Taftsville"</f>
        <v>Paving-Taftsville</v>
      </c>
      <c r="C167" s="2">
        <v>0</v>
      </c>
      <c r="D167" s="2">
        <v>0</v>
      </c>
      <c r="E167" s="2">
        <v>0</v>
      </c>
      <c r="F167" s="2">
        <v>0</v>
      </c>
      <c r="G167" s="2"/>
    </row>
    <row r="168" spans="1:7" x14ac:dyDescent="0.25">
      <c r="A168" s="1" t="str">
        <f>"3-5099-939"</f>
        <v>3-5099-939</v>
      </c>
      <c r="B168" s="1" t="str">
        <f>"Ton Truck"</f>
        <v>Ton Truck</v>
      </c>
      <c r="C168" s="2">
        <v>0</v>
      </c>
      <c r="D168" s="2">
        <v>0</v>
      </c>
      <c r="E168" s="2">
        <v>0</v>
      </c>
      <c r="F168" s="2">
        <v>0</v>
      </c>
      <c r="G168" s="2">
        <v>80000</v>
      </c>
    </row>
    <row r="169" spans="1:7" x14ac:dyDescent="0.25">
      <c r="A169" s="1" t="str">
        <f>"3-5099-940"</f>
        <v>3-5099-940</v>
      </c>
      <c r="B169" s="1" t="str">
        <f>"Replace Boiler"</f>
        <v>Replace Boiler</v>
      </c>
      <c r="C169" s="2">
        <v>0</v>
      </c>
      <c r="D169" s="2">
        <v>0</v>
      </c>
      <c r="E169" s="2">
        <v>0</v>
      </c>
      <c r="F169" s="2">
        <v>0</v>
      </c>
      <c r="G169" s="2"/>
    </row>
    <row r="170" spans="1:7" x14ac:dyDescent="0.25">
      <c r="A170" s="1" t="str">
        <f>"3-5099-941"</f>
        <v>3-5099-941</v>
      </c>
      <c r="B170" s="1" t="str">
        <f>"Influent Bar Rack&amp;Screen"</f>
        <v>Influent Bar Rack&amp;Screen</v>
      </c>
      <c r="C170" s="2">
        <v>0</v>
      </c>
      <c r="D170" s="2">
        <v>0</v>
      </c>
      <c r="E170" s="2">
        <v>0</v>
      </c>
      <c r="F170" s="2">
        <v>0</v>
      </c>
      <c r="G170" s="2"/>
    </row>
    <row r="171" spans="1:7" x14ac:dyDescent="0.25">
      <c r="A171" s="1" t="str">
        <f>"3-5099-942"</f>
        <v>3-5099-942</v>
      </c>
      <c r="B171" s="1" t="str">
        <f>"Catch Basin Cleaner"</f>
        <v>Catch Basin Cleaner</v>
      </c>
      <c r="C171" s="2">
        <v>0</v>
      </c>
      <c r="D171" s="2">
        <v>0</v>
      </c>
      <c r="E171" s="2">
        <v>0</v>
      </c>
      <c r="F171" s="2">
        <v>0</v>
      </c>
      <c r="G171" s="2"/>
    </row>
    <row r="172" spans="1:7" x14ac:dyDescent="0.25">
      <c r="A172" s="1" t="str">
        <f>"3-5099-957"</f>
        <v>3-5099-957</v>
      </c>
      <c r="B172" s="1" t="str">
        <f>"Repairs &amp; Maintenance"</f>
        <v>Repairs &amp; Maintenance</v>
      </c>
      <c r="C172" s="2">
        <v>20000</v>
      </c>
      <c r="D172" s="2">
        <v>0</v>
      </c>
      <c r="E172" s="2">
        <v>0</v>
      </c>
      <c r="F172" s="2">
        <v>0</v>
      </c>
      <c r="G172" s="2"/>
    </row>
    <row r="173" spans="1:7" x14ac:dyDescent="0.25">
      <c r="A173" s="1" t="str">
        <f>"3-5099-976"</f>
        <v>3-5099-976</v>
      </c>
      <c r="B173" s="1" t="str">
        <f>"Tractor"</f>
        <v>Tractor</v>
      </c>
      <c r="C173" s="2">
        <v>0</v>
      </c>
      <c r="D173" s="2">
        <v>0</v>
      </c>
      <c r="E173" s="2">
        <v>0</v>
      </c>
      <c r="F173" s="2">
        <v>0</v>
      </c>
      <c r="G173" s="2"/>
    </row>
    <row r="174" spans="1:7" x14ac:dyDescent="0.25">
      <c r="A174" s="1" t="str">
        <f>"3-5099-985"</f>
        <v>3-5099-985</v>
      </c>
      <c r="B174" s="1" t="str">
        <f>"Communication Equipment"</f>
        <v>Communication Equipment</v>
      </c>
      <c r="C174" s="2">
        <v>0</v>
      </c>
      <c r="D174" s="2">
        <v>0</v>
      </c>
      <c r="E174" s="2">
        <v>0</v>
      </c>
      <c r="F174" s="2">
        <v>0</v>
      </c>
      <c r="G174" s="2"/>
    </row>
    <row r="175" spans="1:7" x14ac:dyDescent="0.25">
      <c r="A175" s="1" t="str">
        <f>"3-5099-990"</f>
        <v>3-5099-990</v>
      </c>
      <c r="B175" s="1" t="str">
        <f>"CapitalOutlay Undedicated"</f>
        <v>CapitalOutlay Undedicated</v>
      </c>
      <c r="C175" s="2">
        <v>0</v>
      </c>
      <c r="D175" s="2">
        <v>0</v>
      </c>
      <c r="E175" s="2">
        <v>0</v>
      </c>
      <c r="F175" s="2">
        <v>0</v>
      </c>
      <c r="G175" s="2"/>
    </row>
    <row r="176" spans="1:7" x14ac:dyDescent="0.25">
      <c r="A176" s="1"/>
      <c r="B176" s="1" t="s">
        <v>41</v>
      </c>
      <c r="C176" s="2"/>
      <c r="D176" s="2"/>
      <c r="E176" s="2"/>
      <c r="F176" s="2"/>
      <c r="G176" s="2">
        <v>140000</v>
      </c>
    </row>
    <row r="177" spans="1:7" x14ac:dyDescent="0.25">
      <c r="A177" s="1"/>
      <c r="B177" s="1" t="s">
        <v>45</v>
      </c>
      <c r="C177" s="2"/>
      <c r="D177" s="2"/>
      <c r="E177" s="2"/>
      <c r="F177" s="2"/>
      <c r="G177" s="2">
        <v>22000</v>
      </c>
    </row>
    <row r="178" spans="1:7" x14ac:dyDescent="0.25">
      <c r="A178" s="1" t="str">
        <f>""</f>
        <v/>
      </c>
      <c r="B178" s="1" t="str">
        <f>""</f>
        <v/>
      </c>
      <c r="C178" s="2" t="s">
        <v>4</v>
      </c>
      <c r="D178" s="2" t="s">
        <v>4</v>
      </c>
      <c r="E178" s="2" t="s">
        <v>4</v>
      </c>
      <c r="F178" s="2" t="s">
        <v>5</v>
      </c>
      <c r="G178" s="2"/>
    </row>
    <row r="179" spans="1:7" x14ac:dyDescent="0.25">
      <c r="A179" s="1" t="s">
        <v>35</v>
      </c>
      <c r="B179" s="1"/>
      <c r="C179" s="2">
        <v>55000</v>
      </c>
      <c r="D179" s="2">
        <v>0</v>
      </c>
      <c r="E179" s="2">
        <v>250000</v>
      </c>
      <c r="F179" s="2">
        <v>0</v>
      </c>
      <c r="G179" s="2">
        <f>SUM(G158:G177)</f>
        <v>242000</v>
      </c>
    </row>
    <row r="180" spans="1:7" x14ac:dyDescent="0.25">
      <c r="A180" s="1" t="str">
        <f>""</f>
        <v/>
      </c>
      <c r="B180" s="1" t="str">
        <f>""</f>
        <v/>
      </c>
      <c r="C180" s="2" t="s">
        <v>4</v>
      </c>
      <c r="D180" s="2" t="s">
        <v>4</v>
      </c>
      <c r="E180" s="2" t="s">
        <v>4</v>
      </c>
      <c r="F180" s="2" t="s">
        <v>5</v>
      </c>
      <c r="G180" s="2"/>
    </row>
    <row r="181" spans="1:7" x14ac:dyDescent="0.25">
      <c r="A181" s="1" t="str">
        <f>""</f>
        <v/>
      </c>
      <c r="B181" s="1" t="str">
        <f>""</f>
        <v/>
      </c>
      <c r="C181" s="2"/>
      <c r="D181" s="2"/>
      <c r="E181" s="2"/>
      <c r="F181" s="2"/>
      <c r="G181" s="2"/>
    </row>
    <row r="182" spans="1:7" x14ac:dyDescent="0.25">
      <c r="A182" s="5" t="s">
        <v>36</v>
      </c>
      <c r="B182" s="5"/>
      <c r="C182" s="6">
        <v>1070275</v>
      </c>
      <c r="D182" s="6">
        <v>827209.25</v>
      </c>
      <c r="E182" s="6">
        <v>1338578</v>
      </c>
      <c r="F182" s="6">
        <v>181226.77</v>
      </c>
      <c r="G182" s="6">
        <f>G179+G154+G138+G128+G95+G77+G65+G60+G49</f>
        <v>1397621.8499999999</v>
      </c>
    </row>
    <row r="183" spans="1:7" x14ac:dyDescent="0.25">
      <c r="A183" s="1" t="str">
        <f>""</f>
        <v/>
      </c>
      <c r="B183" s="1" t="str">
        <f>""</f>
        <v/>
      </c>
      <c r="C183" s="2" t="s">
        <v>4</v>
      </c>
      <c r="D183" s="2" t="s">
        <v>4</v>
      </c>
      <c r="E183" s="2" t="s">
        <v>4</v>
      </c>
      <c r="F183" s="2" t="s">
        <v>5</v>
      </c>
      <c r="G183" s="2"/>
    </row>
    <row r="184" spans="1:7" x14ac:dyDescent="0.25">
      <c r="A184" s="1"/>
      <c r="B184" s="1"/>
      <c r="C184" s="2"/>
      <c r="D184" s="2"/>
      <c r="E184" s="2"/>
      <c r="F184" s="2"/>
      <c r="G184" s="2"/>
    </row>
    <row r="185" spans="1:7" x14ac:dyDescent="0.25">
      <c r="A185" s="1"/>
      <c r="B185" s="1"/>
      <c r="C185" s="2"/>
      <c r="D185" s="2"/>
      <c r="E185" s="2"/>
      <c r="F185" s="2"/>
      <c r="G185" s="2"/>
    </row>
    <row r="186" spans="1:7" x14ac:dyDescent="0.25">
      <c r="A186" s="1"/>
      <c r="B186" s="1"/>
      <c r="C186" s="2"/>
      <c r="D186" s="2"/>
      <c r="E186" s="2"/>
      <c r="F186" s="2"/>
      <c r="G186" s="2"/>
    </row>
  </sheetData>
  <pageMargins left="0.25" right="0.25" top="0.75" bottom="0.75" header="0.3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 Accountant</dc:creator>
  <cp:lastModifiedBy>Manager</cp:lastModifiedBy>
  <cp:lastPrinted>2021-12-10T14:52:24Z</cp:lastPrinted>
  <dcterms:created xsi:type="dcterms:W3CDTF">2021-11-02T19:41:48Z</dcterms:created>
  <dcterms:modified xsi:type="dcterms:W3CDTF">2021-12-15T20:37:41Z</dcterms:modified>
</cp:coreProperties>
</file>